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07C7BA78-3ADB-4FC0-92EC-989F69DF8D2F}" xr6:coauthVersionLast="47" xr6:coauthVersionMax="47" xr10:uidLastSave="{00000000-0000-0000-0000-000000000000}"/>
  <bookViews>
    <workbookView xWindow="-108" yWindow="-108" windowWidth="23256" windowHeight="12456" tabRatio="855" xr2:uid="{083D31B1-59B8-45E1-B4AD-BE96FE1328EB}"/>
  </bookViews>
  <sheets>
    <sheet name="Revenue Requirement" sheetId="1" r:id="rId1"/>
    <sheet name="Cost of Capital" sheetId="2" r:id="rId2"/>
    <sheet name="Depreciation" sheetId="3" r:id="rId3"/>
    <sheet name="Taxes" sheetId="4" r:id="rId4"/>
    <sheet name="Income Statement" sheetId="11" r:id="rId5"/>
  </sheets>
  <definedNames>
    <definedName name="\A">#REF!</definedName>
    <definedName name="__CHG1">#REF!</definedName>
    <definedName name="__CHG2">#REF!</definedName>
    <definedName name="__DEP2">#REF!</definedName>
    <definedName name="__DEP3">#REF!</definedName>
    <definedName name="__DEP4">#REF!</definedName>
    <definedName name="__DEP5">#REF!</definedName>
    <definedName name="__DIS1">#REF!</definedName>
    <definedName name="__DIS2">#REF!</definedName>
    <definedName name="__RET1">#REF!</definedName>
    <definedName name="__RET2">#REF!</definedName>
    <definedName name="__SCH1">#REF!</definedName>
    <definedName name="__SCH2">#REF!</definedName>
    <definedName name="__SCH3">#REF!</definedName>
    <definedName name="__SCH4">#REF!</definedName>
    <definedName name="__SCH5">#REF!</definedName>
    <definedName name="__TFR1">#REF!</definedName>
    <definedName name="__TFR2">#REF!</definedName>
    <definedName name="_Fill" hidden="1">#REF!</definedName>
    <definedName name="_Order1" hidden="1">255</definedName>
    <definedName name="_Order2" hidden="1">255</definedName>
    <definedName name="_Sort" hidden="1">#REF!</definedName>
    <definedName name="ACC">#REF!</definedName>
    <definedName name="DEP">#REF!</definedName>
    <definedName name="HC">#REF!</definedName>
    <definedName name="HCD">#REF!</definedName>
    <definedName name="HCDN">#REF!</definedName>
    <definedName name="HCN">#REF!</definedName>
    <definedName name="LSD_D12___BUILDING">#REF!</definedName>
    <definedName name="LSD_D12___EQUIPMENT">#REF!</definedName>
    <definedName name="LSD_D13___BUILDING">#REF!</definedName>
    <definedName name="LSD_D13___EQUIPMENT">#REF!</definedName>
    <definedName name="LSD_D14___D15___BUILDING">#REF!</definedName>
    <definedName name="LSD_D14___D15___EQUIPMENT">#REF!</definedName>
    <definedName name="NvsASD">"V2009-12-31"</definedName>
    <definedName name="NvsAutoDrillOk">"VN"</definedName>
    <definedName name="NvsElapsedTime">0.0000347222157870419</definedName>
    <definedName name="NvsEndTime">40170.5304282407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"%,X,RZF.PROJECT_ID.,CZF.."</definedName>
    <definedName name="NvsPanelBusUnit">"VBLPC1"</definedName>
    <definedName name="NvsPanelEffdt">"V1900-01-01"</definedName>
    <definedName name="NvsPanelSetid">"VSHARE"</definedName>
    <definedName name="NvsReqBU">"VBLPC1"</definedName>
    <definedName name="NvsReqBUOnly">"VY"</definedName>
    <definedName name="NvsTransLed">"VN"</definedName>
    <definedName name="NvsTreeASD">"V2009-12-31"</definedName>
    <definedName name="NvsValTbl.ACCOUNT">"GL_ACCOUNT_TBL"</definedName>
    <definedName name="NvsValTbl.DEPTID">"DEPARTMENT_TBL"</definedName>
    <definedName name="NvsValTbl.PRODUCT">"PRODUCT_TBL"</definedName>
    <definedName name="NvsValTbl.PROJECT_ID">"PROJECT"</definedName>
    <definedName name="NvsValTbl.SCENARIO">"BD_SCENARIO_TBL"</definedName>
    <definedName name="O_STK">#REF!</definedName>
    <definedName name="PRICES">#REF!</definedName>
    <definedName name="RATE1">#REF!</definedName>
    <definedName name="RATE2">#REF!</definedName>
    <definedName name="REC">#REF!</definedName>
    <definedName name="STK">#REF!</definedName>
    <definedName name="titl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1" l="1"/>
  <c r="A3" i="4"/>
  <c r="A3" i="3"/>
  <c r="A3" i="2"/>
  <c r="T62" i="4" l="1"/>
  <c r="T50" i="4"/>
  <c r="S50" i="4"/>
  <c r="Q50" i="4"/>
  <c r="P50" i="4"/>
  <c r="N50" i="4"/>
  <c r="M50" i="4"/>
  <c r="T65" i="4"/>
  <c r="T66" i="4" s="1"/>
  <c r="Q65" i="4"/>
  <c r="N65" i="4"/>
  <c r="N66" i="4" s="1"/>
  <c r="K22" i="3"/>
  <c r="J22" i="3"/>
  <c r="I22" i="3"/>
  <c r="K17" i="3"/>
  <c r="J17" i="3"/>
  <c r="I17" i="3"/>
  <c r="F31" i="4" l="1"/>
  <c r="D31" i="4"/>
  <c r="B31" i="4"/>
  <c r="T56" i="4"/>
  <c r="T57" i="4"/>
  <c r="T58" i="4"/>
  <c r="T59" i="4"/>
  <c r="T60" i="4"/>
  <c r="T61" i="4"/>
  <c r="Q55" i="4"/>
  <c r="Q56" i="4"/>
  <c r="Q57" i="4"/>
  <c r="Q58" i="4"/>
  <c r="Q59" i="4"/>
  <c r="Q60" i="4"/>
  <c r="Q61" i="4"/>
  <c r="S62" i="4"/>
  <c r="P62" i="4"/>
  <c r="M62" i="4"/>
  <c r="N54" i="4"/>
  <c r="N55" i="4"/>
  <c r="N56" i="4"/>
  <c r="N57" i="4"/>
  <c r="N58" i="4"/>
  <c r="N59" i="4"/>
  <c r="N60" i="4"/>
  <c r="N61" i="4"/>
  <c r="T43" i="4"/>
  <c r="T44" i="4"/>
  <c r="T45" i="4"/>
  <c r="T46" i="4"/>
  <c r="T47" i="4"/>
  <c r="T48" i="4"/>
  <c r="Q42" i="4"/>
  <c r="Q43" i="4"/>
  <c r="Q44" i="4"/>
  <c r="Q45" i="4"/>
  <c r="Q46" i="4"/>
  <c r="Q47" i="4"/>
  <c r="Q48" i="4"/>
  <c r="N41" i="4"/>
  <c r="N42" i="4"/>
  <c r="N43" i="4"/>
  <c r="N44" i="4"/>
  <c r="N45" i="4"/>
  <c r="N46" i="4"/>
  <c r="N47" i="4"/>
  <c r="N48" i="4"/>
  <c r="T42" i="4"/>
  <c r="Q41" i="4"/>
  <c r="N40" i="4"/>
  <c r="T34" i="4"/>
  <c r="S34" i="4"/>
  <c r="Q34" i="4"/>
  <c r="P34" i="4"/>
  <c r="N34" i="4"/>
  <c r="M34" i="4"/>
  <c r="T28" i="4"/>
  <c r="T29" i="4"/>
  <c r="T30" i="4"/>
  <c r="T31" i="4"/>
  <c r="T32" i="4"/>
  <c r="T33" i="4"/>
  <c r="S28" i="4"/>
  <c r="S29" i="4"/>
  <c r="S30" i="4"/>
  <c r="S31" i="4"/>
  <c r="S32" i="4"/>
  <c r="S33" i="4"/>
  <c r="Q32" i="4"/>
  <c r="Q29" i="4"/>
  <c r="P27" i="4"/>
  <c r="P28" i="4"/>
  <c r="P29" i="4"/>
  <c r="P30" i="4"/>
  <c r="P31" i="4"/>
  <c r="P32" i="4"/>
  <c r="P33" i="4"/>
  <c r="N28" i="4"/>
  <c r="M26" i="4"/>
  <c r="M27" i="4"/>
  <c r="M28" i="4"/>
  <c r="M29" i="4"/>
  <c r="M30" i="4"/>
  <c r="M31" i="4"/>
  <c r="M32" i="4"/>
  <c r="M33" i="4"/>
  <c r="S11" i="4"/>
  <c r="P10" i="4"/>
  <c r="M9" i="4"/>
  <c r="N15" i="4"/>
  <c r="Q16" i="4"/>
  <c r="T17" i="4"/>
  <c r="T14" i="4"/>
  <c r="Q13" i="4"/>
  <c r="N12" i="4"/>
  <c r="S20" i="4"/>
  <c r="P20" i="4"/>
  <c r="M20" i="4"/>
  <c r="S17" i="4"/>
  <c r="P16" i="4"/>
  <c r="M15" i="4"/>
  <c r="S14" i="4"/>
  <c r="P13" i="4"/>
  <c r="M12" i="4"/>
  <c r="K24" i="3"/>
  <c r="K23" i="3"/>
  <c r="K26" i="3" s="1"/>
  <c r="J24" i="3"/>
  <c r="J23" i="3"/>
  <c r="J26" i="3" s="1"/>
  <c r="I24" i="3"/>
  <c r="I23" i="3"/>
  <c r="I26" i="3" s="1"/>
  <c r="B35" i="3"/>
  <c r="D9" i="3"/>
  <c r="F9" i="3" s="1"/>
  <c r="G9" i="3" s="1"/>
  <c r="D10" i="3"/>
  <c r="F10" i="3" s="1"/>
  <c r="G10" i="3" s="1"/>
  <c r="D11" i="3"/>
  <c r="F11" i="3" s="1"/>
  <c r="G11" i="3" s="1"/>
  <c r="I11" i="3" s="1"/>
  <c r="D12" i="3"/>
  <c r="F12" i="3" s="1"/>
  <c r="G12" i="3" s="1"/>
  <c r="D13" i="3"/>
  <c r="F13" i="3" s="1"/>
  <c r="G13" i="3" s="1"/>
  <c r="D14" i="3"/>
  <c r="F14" i="3" s="1"/>
  <c r="G14" i="3" s="1"/>
  <c r="J14" i="3" s="1"/>
  <c r="D15" i="3"/>
  <c r="F15" i="3" s="1"/>
  <c r="E17" i="3"/>
  <c r="G15" i="3" l="1"/>
  <c r="K15" i="3" s="1"/>
  <c r="J12" i="3"/>
  <c r="J13" i="3"/>
  <c r="D8" i="3" l="1"/>
  <c r="F8" i="3" s="1"/>
  <c r="F17" i="3" s="1"/>
  <c r="F63" i="3"/>
  <c r="H19" i="1"/>
  <c r="F19" i="1"/>
  <c r="A2" i="11" l="1"/>
  <c r="A2" i="4"/>
  <c r="A2" i="3"/>
  <c r="A2" i="2"/>
  <c r="D19" i="1" l="1"/>
  <c r="D10" i="2" l="1"/>
  <c r="D9" i="2" l="1"/>
  <c r="D12" i="2" s="1"/>
  <c r="D23" i="1" l="1"/>
  <c r="K10" i="3"/>
  <c r="H23" i="1"/>
  <c r="F23" i="1"/>
  <c r="J9" i="3" l="1"/>
  <c r="G8" i="3"/>
  <c r="G17" i="3" s="1"/>
  <c r="H10" i="1"/>
  <c r="H11" i="1" l="1"/>
  <c r="F10" i="1"/>
  <c r="F29" i="1"/>
  <c r="D33" i="4"/>
  <c r="D16" i="11"/>
  <c r="D19" i="11" s="1"/>
  <c r="D14" i="4"/>
  <c r="T11" i="4"/>
  <c r="T20" i="4" s="1"/>
  <c r="S27" i="4"/>
  <c r="Q10" i="4"/>
  <c r="Q20" i="4" s="1"/>
  <c r="P26" i="4"/>
  <c r="F33" i="4"/>
  <c r="H29" i="1"/>
  <c r="F16" i="11"/>
  <c r="F19" i="11" s="1"/>
  <c r="F14" i="4"/>
  <c r="I8" i="3"/>
  <c r="F11" i="1" l="1"/>
  <c r="T27" i="4"/>
  <c r="D17" i="4"/>
  <c r="F17" i="4"/>
  <c r="Q26" i="4"/>
  <c r="N9" i="4" l="1"/>
  <c r="N20" i="4" s="1"/>
  <c r="D10" i="1"/>
  <c r="F18" i="4"/>
  <c r="F34" i="4"/>
  <c r="F38" i="4" s="1"/>
  <c r="D34" i="4"/>
  <c r="D38" i="4" s="1"/>
  <c r="B16" i="11"/>
  <c r="B19" i="11" s="1"/>
  <c r="B14" i="4"/>
  <c r="B33" i="4"/>
  <c r="D29" i="1"/>
  <c r="D18" i="4"/>
  <c r="M25" i="4"/>
  <c r="D11" i="1" l="1"/>
  <c r="D39" i="4"/>
  <c r="F16" i="1" s="1"/>
  <c r="D24" i="11"/>
  <c r="F33" i="1" s="1"/>
  <c r="F39" i="4"/>
  <c r="H16" i="1" s="1"/>
  <c r="F24" i="11"/>
  <c r="H33" i="1" s="1"/>
  <c r="Q54" i="4"/>
  <c r="B17" i="4"/>
  <c r="N25" i="4"/>
  <c r="T55" i="4"/>
  <c r="Q62" i="4" l="1"/>
  <c r="H21" i="1"/>
  <c r="F21" i="1"/>
  <c r="H25" i="1"/>
  <c r="F25" i="1"/>
  <c r="B34" i="4"/>
  <c r="B38" i="4" s="1"/>
  <c r="B18" i="4"/>
  <c r="B39" i="4" l="1"/>
  <c r="D16" i="1" s="1"/>
  <c r="B24" i="11"/>
  <c r="D33" i="1" s="1"/>
  <c r="N53" i="4"/>
  <c r="N62" i="4" l="1"/>
  <c r="D21" i="1"/>
  <c r="D25" i="1"/>
  <c r="B26" i="11" l="1"/>
  <c r="D35" i="1"/>
  <c r="D37" i="1" l="1"/>
  <c r="D39" i="1" l="1"/>
  <c r="B10" i="11"/>
  <c r="B12" i="11" s="1"/>
  <c r="B11" i="4" l="1"/>
  <c r="B20" i="4" l="1"/>
  <c r="B26" i="4" l="1"/>
  <c r="B23" i="11" l="1"/>
  <c r="B27" i="11" s="1"/>
  <c r="B29" i="11" l="1"/>
  <c r="B32" i="11"/>
  <c r="D26" i="11"/>
  <c r="F35" i="1"/>
  <c r="B36" i="11" l="1"/>
  <c r="F37" i="1"/>
  <c r="Q66" i="4"/>
  <c r="F39" i="1" l="1"/>
  <c r="D10" i="11"/>
  <c r="D12" i="11" s="1"/>
  <c r="D11" i="4" l="1"/>
  <c r="D20" i="4" s="1"/>
  <c r="D26" i="4" s="1"/>
  <c r="D23" i="11" l="1"/>
  <c r="D27" i="11" s="1"/>
  <c r="D29" i="11" l="1"/>
  <c r="D32" i="11"/>
  <c r="D36" i="11" l="1"/>
  <c r="F26" i="11" l="1"/>
  <c r="H35" i="1"/>
  <c r="H37" i="1" l="1"/>
  <c r="H39" i="1" l="1"/>
  <c r="F10" i="11"/>
  <c r="F12" i="11" s="1"/>
  <c r="F11" i="4" l="1"/>
  <c r="F20" i="4" s="1"/>
  <c r="F26" i="4" s="1"/>
  <c r="F23" i="11" l="1"/>
  <c r="F27" i="11" s="1"/>
  <c r="F29" i="11" l="1"/>
  <c r="F32" i="11"/>
  <c r="F36" i="11" l="1"/>
</calcChain>
</file>

<file path=xl/sharedStrings.xml><?xml version="1.0" encoding="utf-8"?>
<sst xmlns="http://schemas.openxmlformats.org/spreadsheetml/2006/main" count="219" uniqueCount="127">
  <si>
    <t>Revenue Requirement Analysis</t>
  </si>
  <si>
    <t>Description</t>
  </si>
  <si>
    <t>Year End</t>
  </si>
  <si>
    <t>Less: Customer Contributed Capital</t>
  </si>
  <si>
    <t xml:space="preserve"> Deferred Income Taxes</t>
  </si>
  <si>
    <t xml:space="preserve"> Plus: Working Capital </t>
  </si>
  <si>
    <t xml:space="preserve">     Gross Cash Requirements </t>
  </si>
  <si>
    <t xml:space="preserve"> Total Year End Rate Base </t>
  </si>
  <si>
    <t xml:space="preserve"> Rate of Return </t>
  </si>
  <si>
    <t>Cost of Service:</t>
  </si>
  <si>
    <t>Operation &amp; Maintenance Expense</t>
  </si>
  <si>
    <t>Depreciation</t>
  </si>
  <si>
    <t xml:space="preserve">        Total Cost of Service</t>
  </si>
  <si>
    <t xml:space="preserve">        Total Revenue Requirement</t>
  </si>
  <si>
    <t>Barbados Light &amp; Power</t>
  </si>
  <si>
    <t xml:space="preserve">      Accumulated Deferred Income Tax Liability</t>
  </si>
  <si>
    <t>Taxes</t>
  </si>
  <si>
    <t>Insurance</t>
  </si>
  <si>
    <t xml:space="preserve">   Corporation tax expense</t>
  </si>
  <si>
    <t xml:space="preserve">   Deferred taxes</t>
  </si>
  <si>
    <t xml:space="preserve">   Deferred investment tax credit</t>
  </si>
  <si>
    <t xml:space="preserve">   Deferred manufacturers tax credit</t>
  </si>
  <si>
    <t xml:space="preserve"> Customer Contributions for Work Not Yet Started</t>
  </si>
  <si>
    <t xml:space="preserve"> Total Net Plant/Asset</t>
  </si>
  <si>
    <t>Authorized Return   (Rate Base * Rate of Return)</t>
  </si>
  <si>
    <t>Capital Structure</t>
  </si>
  <si>
    <t xml:space="preserve">Percent </t>
  </si>
  <si>
    <t>Rate of</t>
  </si>
  <si>
    <t>Rate</t>
  </si>
  <si>
    <t>Capitalization</t>
  </si>
  <si>
    <t>Return</t>
  </si>
  <si>
    <t>Equity</t>
  </si>
  <si>
    <t>Debt</t>
  </si>
  <si>
    <t>Total</t>
  </si>
  <si>
    <t>Electric Utility Plant/Asset in Service</t>
  </si>
  <si>
    <t>Cost</t>
  </si>
  <si>
    <t>Depreciation Rate</t>
  </si>
  <si>
    <t>Depreciation Expense</t>
  </si>
  <si>
    <t xml:space="preserve">CORPORATION TAX COMPUTATION (BDS 000s) </t>
  </si>
  <si>
    <t>FY 2024</t>
  </si>
  <si>
    <t>FY 2025</t>
  </si>
  <si>
    <t>FY 2026</t>
  </si>
  <si>
    <t>Profit before taxes per Income Statement</t>
  </si>
  <si>
    <t>ADD:</t>
  </si>
  <si>
    <t>LESS:</t>
  </si>
  <si>
    <t>Deferred Manufacturing tax credit</t>
  </si>
  <si>
    <t>Annual Allowance</t>
  </si>
  <si>
    <t>Manufacturing Allowance</t>
  </si>
  <si>
    <t>Balancing Allowance</t>
  </si>
  <si>
    <t>Adjusted Profit/(Loss)</t>
  </si>
  <si>
    <t>Tax Rate</t>
  </si>
  <si>
    <t>Corporation Tax Payable</t>
  </si>
  <si>
    <t>Per Income Statement</t>
  </si>
  <si>
    <t>CAPITAL ALLOWANCES</t>
  </si>
  <si>
    <t>Year</t>
  </si>
  <si>
    <t>MAN. TAX CREDITS</t>
  </si>
  <si>
    <t>50 % of Cost</t>
  </si>
  <si>
    <t>Tax Depreciation</t>
  </si>
  <si>
    <t>Less Financial Depreciation</t>
  </si>
  <si>
    <t>Deferred Charge for year</t>
  </si>
  <si>
    <t>Deferred Charge Balance</t>
  </si>
  <si>
    <t>Deferred Man Charge for year</t>
  </si>
  <si>
    <t>Deferred Manu. Credit Balance</t>
  </si>
  <si>
    <t>Deferred Taxes</t>
  </si>
  <si>
    <t>Forecast</t>
  </si>
  <si>
    <t>Revenues</t>
  </si>
  <si>
    <t xml:space="preserve">  Basic Revenue</t>
  </si>
  <si>
    <t>Operating and maintenance expenses</t>
  </si>
  <si>
    <t>Current Portion</t>
  </si>
  <si>
    <t>Deferred Portion</t>
  </si>
  <si>
    <t>Deferred investment tax credit</t>
  </si>
  <si>
    <t>Total expenses</t>
  </si>
  <si>
    <t>Operating Income</t>
  </si>
  <si>
    <t>Finance Costs</t>
  </si>
  <si>
    <t>Net income for the year</t>
  </si>
  <si>
    <t>DEF. MAN. TAX CREDITS</t>
  </si>
  <si>
    <t>Income Statement</t>
  </si>
  <si>
    <t>IPP NUMBER</t>
  </si>
  <si>
    <t>PROJ. COD YR.</t>
  </si>
  <si>
    <t>Proposed Capacity (kW)</t>
  </si>
  <si>
    <t>Technology</t>
  </si>
  <si>
    <t>Substation/ Transmission Connection</t>
  </si>
  <si>
    <t>IPP1</t>
  </si>
  <si>
    <t>SOLAR</t>
  </si>
  <si>
    <t>HA</t>
  </si>
  <si>
    <t>IPP2</t>
  </si>
  <si>
    <t>WO-RP</t>
  </si>
  <si>
    <t>IPP3</t>
  </si>
  <si>
    <t>IPP4</t>
  </si>
  <si>
    <t>WIND</t>
  </si>
  <si>
    <t>IPP5</t>
  </si>
  <si>
    <t>HA-OL</t>
  </si>
  <si>
    <t>IPP6</t>
  </si>
  <si>
    <t>TR</t>
  </si>
  <si>
    <t>IPP7</t>
  </si>
  <si>
    <t>Solar/ Hydrogen</t>
  </si>
  <si>
    <t>IPP8</t>
  </si>
  <si>
    <t>IPP9</t>
  </si>
  <si>
    <t>IPP10</t>
  </si>
  <si>
    <t>BIOMASS</t>
  </si>
  <si>
    <t>WA</t>
  </si>
  <si>
    <t>IPP11</t>
  </si>
  <si>
    <t>IPP12</t>
  </si>
  <si>
    <t>IPP13</t>
  </si>
  <si>
    <t>ST-NO</t>
  </si>
  <si>
    <t>IPP14</t>
  </si>
  <si>
    <t>IPP Interconnection</t>
  </si>
  <si>
    <t>Poles &amp; Accessories</t>
  </si>
  <si>
    <t>AFUDC</t>
  </si>
  <si>
    <t>Solar IPP Interconnection</t>
  </si>
  <si>
    <t>Substation Equipment</t>
  </si>
  <si>
    <t>Distribution</t>
  </si>
  <si>
    <t>Tot. Substation equipment (5 Breakers) &amp; O/Head Line Costs</t>
  </si>
  <si>
    <t>TOTAL</t>
  </si>
  <si>
    <t>Transmission &amp; Distribution</t>
  </si>
  <si>
    <t>Overhead Conductors</t>
  </si>
  <si>
    <t>Underground Cables</t>
  </si>
  <si>
    <t>Average</t>
  </si>
  <si>
    <t>Start Date</t>
  </si>
  <si>
    <t>CAP Date</t>
  </si>
  <si>
    <t>No. of Months</t>
  </si>
  <si>
    <t>11kV Feeder Upgrade</t>
  </si>
  <si>
    <t>24kV ST-NO (336 to 795MCM)</t>
  </si>
  <si>
    <t>24kV ST-WA (630MCM U/G Cable)</t>
  </si>
  <si>
    <t>Deferred Tax Rate</t>
  </si>
  <si>
    <t>Clean Energy Transistion Plan Project 1</t>
  </si>
  <si>
    <t>NOTE: See Exhibit BESS-1 for detail calculation of Cost of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</si>
</sst>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%"/>
    <numFmt numFmtId="167" formatCode="0_);\(0\)"/>
    <numFmt numFmtId="168" formatCode="0.0000%"/>
    <numFmt numFmtId="169" formatCode="0.00000%"/>
    <numFmt numFmtId="170" formatCode="[$-409]d\-mmm\-yy;@"/>
    <numFmt numFmtId="171" formatCode="mmmm\ d\,\ yyyy"/>
    <numFmt numFmtId="172" formatCode="_-* #,##0.00_-;\-* #,##0.00_-;_-* &quot;-&quot;??_-;_-@_-"/>
    <numFmt numFmtId="173" formatCode="_-* #,##0_-;\-* #,##0_-;_-* &quot;-&quot;??_-;_-@_-"/>
    <numFmt numFmtId="174" formatCode="_(* #,##0.00_);_(* \(#,##0.00\);_(* &quot;-&quot;_);_(@_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i/>
      <sz val="11"/>
      <name val="Arial"/>
      <family val="2"/>
    </font>
    <font>
      <b/>
      <i/>
      <u/>
      <sz val="11"/>
      <name val="Arial"/>
      <family val="2"/>
    </font>
    <font>
      <i/>
      <u/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8"/>
      <name val="Calibri"/>
      <family val="2"/>
      <scheme val="minor"/>
    </font>
    <font>
      <sz val="10"/>
      <name val="Arial MT"/>
    </font>
    <font>
      <b/>
      <sz val="11"/>
      <name val="Arial Narrow"/>
      <family val="2"/>
    </font>
    <font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name val="Arial Narrow"/>
      <family val="2"/>
    </font>
    <font>
      <sz val="10"/>
      <name val="Helv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Corbel"/>
      <family val="2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9" fillId="0" borderId="0"/>
    <xf numFmtId="0" fontId="10" fillId="0" borderId="0"/>
    <xf numFmtId="9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39" fontId="15" fillId="0" borderId="0"/>
    <xf numFmtId="43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21" fillId="0" borderId="0"/>
    <xf numFmtId="172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/>
    <xf numFmtId="164" fontId="4" fillId="0" borderId="0" xfId="2" applyNumberFormat="1" applyFont="1" applyFill="1"/>
    <xf numFmtId="164" fontId="4" fillId="0" borderId="0" xfId="2" applyNumberFormat="1" applyFont="1" applyFill="1" applyAlignment="1">
      <alignment horizontal="center"/>
    </xf>
    <xf numFmtId="42" fontId="4" fillId="0" borderId="0" xfId="4" applyFont="1"/>
    <xf numFmtId="41" fontId="4" fillId="0" borderId="1" xfId="2" applyNumberFormat="1" applyFont="1" applyFill="1" applyBorder="1"/>
    <xf numFmtId="41" fontId="4" fillId="0" borderId="0" xfId="2" applyNumberFormat="1" applyFont="1" applyFill="1" applyAlignment="1">
      <alignment horizontal="center"/>
    </xf>
    <xf numFmtId="41" fontId="4" fillId="0" borderId="0" xfId="2" applyNumberFormat="1" applyFont="1" applyFill="1"/>
    <xf numFmtId="41" fontId="0" fillId="0" borderId="0" xfId="0" applyNumberFormat="1"/>
    <xf numFmtId="41" fontId="4" fillId="0" borderId="0" xfId="0" applyNumberFormat="1" applyFont="1"/>
    <xf numFmtId="0" fontId="4" fillId="0" borderId="0" xfId="0" applyFont="1" applyAlignment="1" applyProtection="1">
      <alignment horizontal="left" vertical="top"/>
      <protection locked="0"/>
    </xf>
    <xf numFmtId="41" fontId="4" fillId="0" borderId="0" xfId="2" applyNumberFormat="1" applyFont="1" applyFill="1" applyBorder="1"/>
    <xf numFmtId="41" fontId="4" fillId="0" borderId="0" xfId="2" applyNumberFormat="1" applyFont="1" applyFill="1" applyBorder="1" applyAlignment="1">
      <alignment horizontal="center"/>
    </xf>
    <xf numFmtId="164" fontId="4" fillId="0" borderId="2" xfId="0" applyNumberFormat="1" applyFont="1" applyBorder="1"/>
    <xf numFmtId="164" fontId="4" fillId="0" borderId="0" xfId="0" applyNumberFormat="1" applyFont="1"/>
    <xf numFmtId="42" fontId="2" fillId="0" borderId="0" xfId="4" applyFont="1"/>
    <xf numFmtId="10" fontId="4" fillId="0" borderId="0" xfId="0" applyNumberFormat="1" applyFont="1"/>
    <xf numFmtId="0" fontId="6" fillId="0" borderId="0" xfId="4" applyNumberFormat="1" applyFont="1"/>
    <xf numFmtId="0" fontId="4" fillId="0" borderId="0" xfId="4" applyNumberFormat="1" applyFont="1"/>
    <xf numFmtId="10" fontId="2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0" fontId="4" fillId="0" borderId="0" xfId="3" applyNumberFormat="1" applyFont="1" applyFill="1"/>
    <xf numFmtId="165" fontId="4" fillId="0" borderId="0" xfId="2" applyNumberFormat="1" applyFont="1" applyFill="1"/>
    <xf numFmtId="41" fontId="4" fillId="0" borderId="0" xfId="1" applyNumberFormat="1" applyFont="1" applyFill="1"/>
    <xf numFmtId="43" fontId="4" fillId="0" borderId="0" xfId="3" applyNumberFormat="1" applyFont="1" applyFill="1"/>
    <xf numFmtId="43" fontId="0" fillId="0" borderId="0" xfId="0" applyNumberFormat="1"/>
    <xf numFmtId="166" fontId="4" fillId="0" borderId="0" xfId="3" applyNumberFormat="1" applyFont="1" applyFill="1" applyAlignment="1">
      <alignment horizontal="center"/>
    </xf>
    <xf numFmtId="41" fontId="4" fillId="0" borderId="0" xfId="4" applyNumberFormat="1" applyFont="1"/>
    <xf numFmtId="41" fontId="4" fillId="0" borderId="0" xfId="1" applyNumberFormat="1" applyFont="1" applyFill="1" applyBorder="1"/>
    <xf numFmtId="0" fontId="6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left"/>
    </xf>
    <xf numFmtId="164" fontId="4" fillId="0" borderId="0" xfId="2" applyNumberFormat="1" applyFont="1" applyFill="1" applyBorder="1"/>
    <xf numFmtId="0" fontId="4" fillId="0" borderId="0" xfId="0" applyFont="1" applyAlignment="1">
      <alignment horizontal="center"/>
    </xf>
    <xf numFmtId="39" fontId="4" fillId="0" borderId="0" xfId="5" applyNumberFormat="1" applyFont="1" applyAlignment="1">
      <alignment horizontal="left"/>
    </xf>
    <xf numFmtId="164" fontId="2" fillId="0" borderId="3" xfId="0" applyNumberFormat="1" applyFont="1" applyBorder="1"/>
    <xf numFmtId="164" fontId="2" fillId="0" borderId="1" xfId="0" applyNumberFormat="1" applyFont="1" applyBorder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0" fontId="4" fillId="0" borderId="0" xfId="6" applyNumberFormat="1" applyFont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0" fillId="0" borderId="0" xfId="3" applyNumberFormat="1" applyFont="1"/>
    <xf numFmtId="43" fontId="0" fillId="0" borderId="0" xfId="1" applyFont="1"/>
    <xf numFmtId="43" fontId="0" fillId="0" borderId="4" xfId="0" applyNumberFormat="1" applyBorder="1"/>
    <xf numFmtId="10" fontId="0" fillId="0" borderId="0" xfId="0" applyNumberFormat="1"/>
    <xf numFmtId="0" fontId="12" fillId="0" borderId="0" xfId="0" applyFont="1"/>
    <xf numFmtId="39" fontId="11" fillId="0" borderId="0" xfId="9" applyFont="1"/>
    <xf numFmtId="0" fontId="16" fillId="0" borderId="1" xfId="10" applyNumberFormat="1" applyFont="1" applyFill="1" applyBorder="1" applyAlignment="1">
      <alignment horizontal="center" vertical="center" wrapText="1"/>
    </xf>
    <xf numFmtId="39" fontId="15" fillId="0" borderId="0" xfId="9"/>
    <xf numFmtId="39" fontId="17" fillId="0" borderId="0" xfId="9" applyFont="1"/>
    <xf numFmtId="39" fontId="18" fillId="0" borderId="0" xfId="9" applyFont="1"/>
    <xf numFmtId="0" fontId="13" fillId="2" borderId="6" xfId="11" applyFont="1" applyFill="1" applyBorder="1" applyAlignment="1">
      <alignment horizontal="center" vertical="center"/>
    </xf>
    <xf numFmtId="167" fontId="13" fillId="2" borderId="6" xfId="11" quotePrefix="1" applyNumberFormat="1" applyFont="1" applyFill="1" applyBorder="1" applyAlignment="1">
      <alignment horizontal="center" vertical="center"/>
    </xf>
    <xf numFmtId="0" fontId="13" fillId="0" borderId="0" xfId="11" applyFont="1" applyAlignment="1">
      <alignment vertical="center"/>
    </xf>
    <xf numFmtId="10" fontId="13" fillId="0" borderId="0" xfId="13" applyNumberFormat="1" applyFont="1" applyFill="1" applyAlignment="1">
      <alignment vertical="center"/>
    </xf>
    <xf numFmtId="37" fontId="13" fillId="0" borderId="0" xfId="12" applyNumberFormat="1" applyFont="1" applyFill="1" applyAlignment="1">
      <alignment vertical="center"/>
    </xf>
    <xf numFmtId="168" fontId="0" fillId="0" borderId="0" xfId="13" applyNumberFormat="1" applyFont="1"/>
    <xf numFmtId="0" fontId="19" fillId="0" borderId="0" xfId="0" applyFont="1"/>
    <xf numFmtId="37" fontId="13" fillId="0" borderId="4" xfId="12" applyNumberFormat="1" applyFont="1" applyFill="1" applyBorder="1" applyAlignment="1">
      <alignment vertical="center"/>
    </xf>
    <xf numFmtId="37" fontId="20" fillId="0" borderId="0" xfId="0" applyNumberFormat="1" applyFont="1" applyAlignment="1">
      <alignment horizontal="center" vertical="center"/>
    </xf>
    <xf numFmtId="171" fontId="16" fillId="0" borderId="0" xfId="14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1" xfId="0" applyBorder="1"/>
    <xf numFmtId="41" fontId="0" fillId="0" borderId="5" xfId="0" applyNumberFormat="1" applyBorder="1"/>
    <xf numFmtId="172" fontId="20" fillId="0" borderId="0" xfId="15" applyFont="1" applyFill="1" applyBorder="1" applyAlignment="1">
      <alignment horizontal="right" vertical="center"/>
    </xf>
    <xf numFmtId="41" fontId="12" fillId="0" borderId="5" xfId="0" applyNumberFormat="1" applyFont="1" applyBorder="1"/>
    <xf numFmtId="41" fontId="0" fillId="0" borderId="4" xfId="0" applyNumberFormat="1" applyBorder="1"/>
    <xf numFmtId="41" fontId="0" fillId="0" borderId="1" xfId="0" applyNumberFormat="1" applyBorder="1"/>
    <xf numFmtId="173" fontId="2" fillId="0" borderId="2" xfId="15" applyNumberFormat="1" applyFont="1" applyFill="1" applyBorder="1"/>
    <xf numFmtId="10" fontId="2" fillId="0" borderId="0" xfId="0" applyNumberFormat="1" applyFont="1"/>
    <xf numFmtId="164" fontId="2" fillId="0" borderId="0" xfId="2" applyNumberFormat="1" applyFont="1" applyAlignment="1">
      <alignment horizontal="center"/>
    </xf>
    <xf numFmtId="0" fontId="22" fillId="0" borderId="8" xfId="0" applyFont="1" applyBorder="1" applyAlignment="1">
      <alignment vertical="center" wrapText="1"/>
    </xf>
    <xf numFmtId="0" fontId="22" fillId="0" borderId="9" xfId="0" applyFont="1" applyBorder="1" applyAlignment="1">
      <alignment vertical="center" wrapText="1"/>
    </xf>
    <xf numFmtId="0" fontId="23" fillId="0" borderId="10" xfId="0" applyFont="1" applyBorder="1" applyAlignment="1">
      <alignment vertical="center"/>
    </xf>
    <xf numFmtId="0" fontId="23" fillId="0" borderId="7" xfId="0" applyFont="1" applyBorder="1" applyAlignment="1">
      <alignment vertical="center"/>
    </xf>
    <xf numFmtId="0" fontId="23" fillId="0" borderId="7" xfId="0" applyFont="1" applyBorder="1" applyAlignment="1">
      <alignment vertical="center" wrapText="1"/>
    </xf>
    <xf numFmtId="8" fontId="0" fillId="0" borderId="0" xfId="0" applyNumberFormat="1"/>
    <xf numFmtId="43" fontId="4" fillId="0" borderId="0" xfId="0" applyNumberFormat="1" applyFont="1"/>
    <xf numFmtId="3" fontId="25" fillId="0" borderId="0" xfId="0" applyNumberFormat="1" applyFont="1"/>
    <xf numFmtId="8" fontId="24" fillId="0" borderId="0" xfId="0" applyNumberFormat="1" applyFont="1" applyAlignment="1">
      <alignment horizontal="right" vertical="center"/>
    </xf>
    <xf numFmtId="6" fontId="26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43" fontId="12" fillId="0" borderId="2" xfId="0" applyNumberFormat="1" applyFont="1" applyBorder="1"/>
    <xf numFmtId="41" fontId="4" fillId="0" borderId="11" xfId="2" applyNumberFormat="1" applyFont="1" applyFill="1" applyBorder="1"/>
    <xf numFmtId="0" fontId="13" fillId="0" borderId="0" xfId="11" applyFont="1" applyAlignment="1">
      <alignment horizontal="center" vertical="center"/>
    </xf>
    <xf numFmtId="37" fontId="13" fillId="0" borderId="0" xfId="12" applyNumberFormat="1" applyFont="1" applyFill="1" applyBorder="1" applyAlignment="1">
      <alignment vertical="center"/>
    </xf>
    <xf numFmtId="169" fontId="0" fillId="0" borderId="0" xfId="13" applyNumberFormat="1" applyFont="1" applyFill="1" applyBorder="1"/>
    <xf numFmtId="10" fontId="13" fillId="0" borderId="0" xfId="3" applyNumberFormat="1" applyFont="1" applyFill="1" applyAlignment="1">
      <alignment vertical="center"/>
    </xf>
    <xf numFmtId="169" fontId="0" fillId="0" borderId="0" xfId="13" applyNumberFormat="1" applyFont="1" applyFill="1"/>
    <xf numFmtId="170" fontId="27" fillId="0" borderId="0" xfId="0" applyNumberFormat="1" applyFont="1" applyAlignment="1">
      <alignment horizontal="center" vertical="center"/>
    </xf>
    <xf numFmtId="0" fontId="22" fillId="0" borderId="12" xfId="0" applyFont="1" applyBorder="1" applyAlignment="1">
      <alignment vertical="center" wrapText="1"/>
    </xf>
    <xf numFmtId="0" fontId="23" fillId="0" borderId="6" xfId="0" applyFont="1" applyBorder="1" applyAlignment="1">
      <alignment vertical="center"/>
    </xf>
    <xf numFmtId="0" fontId="23" fillId="0" borderId="6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8" fontId="28" fillId="0" borderId="8" xfId="0" applyNumberFormat="1" applyFont="1" applyBorder="1" applyAlignment="1">
      <alignment vertical="center"/>
    </xf>
    <xf numFmtId="0" fontId="29" fillId="0" borderId="8" xfId="0" applyFont="1" applyBorder="1" applyAlignment="1">
      <alignment vertical="center" wrapText="1"/>
    </xf>
    <xf numFmtId="37" fontId="30" fillId="0" borderId="13" xfId="0" applyNumberFormat="1" applyFont="1" applyBorder="1" applyAlignment="1">
      <alignment horizontal="left"/>
    </xf>
    <xf numFmtId="37" fontId="31" fillId="0" borderId="13" xfId="0" applyNumberFormat="1" applyFont="1" applyBorder="1" applyAlignment="1">
      <alignment horizontal="left"/>
    </xf>
    <xf numFmtId="10" fontId="0" fillId="0" borderId="0" xfId="0" applyNumberFormat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37" fontId="13" fillId="0" borderId="5" xfId="12" applyNumberFormat="1" applyFont="1" applyFill="1" applyBorder="1" applyAlignment="1">
      <alignment vertical="center"/>
    </xf>
    <xf numFmtId="37" fontId="30" fillId="0" borderId="0" xfId="0" applyNumberFormat="1" applyFont="1" applyAlignment="1">
      <alignment horizontal="left"/>
    </xf>
    <xf numFmtId="43" fontId="32" fillId="0" borderId="0" xfId="1" applyFont="1"/>
    <xf numFmtId="10" fontId="15" fillId="0" borderId="0" xfId="3" applyNumberFormat="1" applyFont="1"/>
    <xf numFmtId="174" fontId="4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6">
    <cellStyle name="Comma" xfId="1" builtinId="3"/>
    <cellStyle name="Comma 2" xfId="7" xr:uid="{C549E61E-8A52-4C20-8F57-CBFB99515EB2}"/>
    <cellStyle name="Comma 3" xfId="12" xr:uid="{D05DB49F-A67E-4D88-8EBE-446DE5C323E1}"/>
    <cellStyle name="Comma 4" xfId="10" xr:uid="{42E07785-1738-4539-8116-919AB9E222A3}"/>
    <cellStyle name="Comma 5" xfId="15" xr:uid="{B2059CBC-013E-4B9C-ADF9-DE2901E1007F}"/>
    <cellStyle name="Currency" xfId="2" builtinId="4"/>
    <cellStyle name="Normal" xfId="0" builtinId="0"/>
    <cellStyle name="Normal 3" xfId="8" xr:uid="{EECC9D74-C055-4946-9981-61F0540BC381}"/>
    <cellStyle name="Normal 4" xfId="9" xr:uid="{0E87E9B6-5422-492F-A571-67EF083DB593}"/>
    <cellStyle name="Normal_BalSht2" xfId="5" xr:uid="{677F4597-2252-4D23-9EF5-0646EB8FC844}"/>
    <cellStyle name="Normal_FIN&amp;STAT-APR 2010" xfId="14" xr:uid="{8EF66E66-42D9-498C-97C6-782A58F3C989}"/>
    <cellStyle name="Normal_Manufallowance_2008" xfId="11" xr:uid="{4CDFF4AD-F883-498F-924C-02019BFF6015}"/>
    <cellStyle name="Normal_Rev Req Analysis_Rev1" xfId="4" xr:uid="{74763127-A91C-4ED8-898F-1405367FB86D}"/>
    <cellStyle name="Percent" xfId="3" builtinId="5"/>
    <cellStyle name="Percent 10 2" xfId="6" xr:uid="{0E402A0F-60D5-4E65-BE79-1764FA331DD2}"/>
    <cellStyle name="Percent 2" xfId="13" xr:uid="{37634002-7434-4B92-BEB2-4114A1FF68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CEE19-71A2-40CC-A4D8-2DB9C2C8C3BD}">
  <dimension ref="A1:M41"/>
  <sheetViews>
    <sheetView tabSelected="1" zoomScale="89" zoomScaleNormal="89" workbookViewId="0">
      <selection activeCell="K13" sqref="K13"/>
    </sheetView>
  </sheetViews>
  <sheetFormatPr defaultRowHeight="14.4"/>
  <cols>
    <col min="1" max="1" width="1.88671875" customWidth="1"/>
    <col min="2" max="2" width="50.5546875" customWidth="1"/>
    <col min="3" max="3" width="5.33203125" customWidth="1"/>
    <col min="4" max="4" width="13.33203125" bestFit="1" customWidth="1"/>
    <col min="5" max="5" width="1.44140625" customWidth="1"/>
    <col min="6" max="6" width="13.33203125" bestFit="1" customWidth="1"/>
    <col min="7" max="7" width="1.44140625" customWidth="1"/>
    <col min="8" max="8" width="13.33203125" bestFit="1" customWidth="1"/>
    <col min="9" max="9" width="1.44140625" customWidth="1"/>
    <col min="10" max="10" width="16.109375" bestFit="1" customWidth="1"/>
    <col min="11" max="11" width="11.44140625" bestFit="1" customWidth="1"/>
    <col min="12" max="13" width="8.77734375" customWidth="1"/>
  </cols>
  <sheetData>
    <row r="1" spans="1:13">
      <c r="A1" s="112" t="s">
        <v>14</v>
      </c>
      <c r="B1" s="112"/>
      <c r="C1" s="112"/>
      <c r="D1" s="112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12" t="s">
        <v>125</v>
      </c>
      <c r="B2" s="112"/>
      <c r="C2" s="112"/>
      <c r="D2" s="112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12" t="s">
        <v>106</v>
      </c>
      <c r="B3" s="112"/>
      <c r="C3" s="112"/>
      <c r="D3" s="112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12" t="s">
        <v>0</v>
      </c>
      <c r="B4" s="112"/>
      <c r="C4" s="112"/>
      <c r="D4" s="112"/>
      <c r="E4" s="1"/>
      <c r="F4" s="1"/>
      <c r="G4" s="1"/>
      <c r="H4" s="1"/>
      <c r="I4" s="1"/>
      <c r="J4" s="1"/>
      <c r="K4" s="1"/>
      <c r="L4" s="1"/>
      <c r="M4" s="1"/>
    </row>
    <row r="5" spans="1:13">
      <c r="A5" s="113"/>
      <c r="B5" s="113"/>
      <c r="C5" s="113"/>
      <c r="D5" s="113"/>
      <c r="E5" s="2"/>
      <c r="F5" s="2"/>
      <c r="G5" s="2"/>
      <c r="H5" s="2"/>
      <c r="I5" s="2"/>
      <c r="J5" s="2"/>
      <c r="K5" s="2"/>
      <c r="L5" s="2"/>
      <c r="M5" s="2"/>
    </row>
    <row r="6" spans="1:13">
      <c r="A6" s="113"/>
      <c r="B6" s="113"/>
      <c r="C6" s="113"/>
      <c r="D6" s="113"/>
      <c r="E6" s="2"/>
      <c r="F6" s="2"/>
      <c r="G6" s="2"/>
      <c r="H6" s="2"/>
      <c r="I6" s="2"/>
      <c r="J6" s="2"/>
      <c r="K6" s="2"/>
      <c r="L6" s="2"/>
      <c r="M6" s="2"/>
    </row>
    <row r="7" spans="1:13">
      <c r="A7" s="2"/>
      <c r="B7" s="2"/>
      <c r="C7" s="2"/>
      <c r="D7" s="1">
        <v>2024</v>
      </c>
      <c r="E7" s="1"/>
      <c r="F7" s="1">
        <v>2025</v>
      </c>
      <c r="G7" s="1"/>
      <c r="H7" s="1">
        <v>2026</v>
      </c>
      <c r="I7" s="1"/>
      <c r="J7" s="2"/>
      <c r="K7" s="2"/>
      <c r="L7" s="2"/>
      <c r="M7" s="2"/>
    </row>
    <row r="8" spans="1:13">
      <c r="A8" s="3"/>
      <c r="B8" s="4" t="s">
        <v>1</v>
      </c>
      <c r="C8" s="3"/>
      <c r="D8" s="4" t="s">
        <v>2</v>
      </c>
      <c r="E8" s="4"/>
      <c r="F8" s="4" t="s">
        <v>2</v>
      </c>
      <c r="G8" s="4"/>
      <c r="H8" s="4" t="s">
        <v>2</v>
      </c>
      <c r="I8" s="4"/>
      <c r="J8" s="3"/>
      <c r="K8" s="3"/>
      <c r="L8" s="3"/>
      <c r="M8" s="3"/>
    </row>
    <row r="9" spans="1:13">
      <c r="A9" s="3"/>
      <c r="B9" s="5" t="s">
        <v>34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>
      <c r="A10" s="3"/>
      <c r="B10" s="3" t="s">
        <v>106</v>
      </c>
      <c r="C10" s="3"/>
      <c r="D10" s="6">
        <f>Depreciation!I17</f>
        <v>13426489.970118001</v>
      </c>
      <c r="E10" s="7"/>
      <c r="F10" s="6">
        <f>Depreciation!J17</f>
        <v>22319112.566662081</v>
      </c>
      <c r="G10" s="7"/>
      <c r="H10" s="6">
        <f>Depreciation!K17</f>
        <v>34252983.603479333</v>
      </c>
      <c r="I10" s="7"/>
    </row>
    <row r="11" spans="1:13">
      <c r="A11" s="3"/>
      <c r="B11" s="8" t="s">
        <v>23</v>
      </c>
      <c r="C11" s="8"/>
      <c r="D11" s="90">
        <f>SUM(D10:D10)</f>
        <v>13426489.970118001</v>
      </c>
      <c r="E11" s="10"/>
      <c r="F11" s="90">
        <f>SUM(F10:F10)</f>
        <v>22319112.566662081</v>
      </c>
      <c r="G11" s="10"/>
      <c r="H11" s="90">
        <f>SUM(H10:H10)</f>
        <v>34252983.603479333</v>
      </c>
      <c r="I11" s="10"/>
      <c r="J11" s="12"/>
      <c r="K11" s="12"/>
      <c r="L11" s="12"/>
      <c r="M11" s="12"/>
    </row>
    <row r="12" spans="1:13">
      <c r="A12" s="3"/>
      <c r="B12" s="8"/>
      <c r="C12" s="8"/>
      <c r="D12" s="11"/>
      <c r="E12" s="10"/>
      <c r="F12" s="11"/>
      <c r="G12" s="10"/>
      <c r="H12" s="11"/>
      <c r="I12" s="10"/>
      <c r="J12" s="12"/>
      <c r="K12" s="12"/>
      <c r="L12" s="12"/>
      <c r="M12" s="12"/>
    </row>
    <row r="13" spans="1:13">
      <c r="A13" s="3"/>
      <c r="B13" s="14" t="s">
        <v>3</v>
      </c>
      <c r="C13" s="8"/>
      <c r="D13" s="11"/>
      <c r="E13" s="10"/>
      <c r="F13" s="11"/>
      <c r="G13" s="10"/>
      <c r="H13" s="11"/>
      <c r="I13" s="10"/>
      <c r="J13" s="12"/>
      <c r="K13" s="12"/>
      <c r="L13" s="12"/>
      <c r="M13" s="12"/>
    </row>
    <row r="14" spans="1:13">
      <c r="A14" s="3"/>
      <c r="B14" s="40" t="s">
        <v>22</v>
      </c>
      <c r="C14" s="8"/>
      <c r="D14" s="11">
        <v>0</v>
      </c>
      <c r="E14" s="10"/>
      <c r="F14" s="11">
        <v>0</v>
      </c>
      <c r="G14" s="10"/>
      <c r="H14" s="11">
        <v>0</v>
      </c>
      <c r="I14" s="10"/>
      <c r="J14" s="12"/>
      <c r="K14" s="12"/>
      <c r="L14" s="12"/>
      <c r="M14" s="12"/>
    </row>
    <row r="15" spans="1:13">
      <c r="A15" s="3"/>
      <c r="B15" s="14" t="s">
        <v>4</v>
      </c>
      <c r="C15" s="8"/>
      <c r="D15" s="11"/>
      <c r="E15" s="10"/>
      <c r="F15" s="11"/>
      <c r="G15" s="10"/>
      <c r="H15" s="11"/>
      <c r="I15" s="10"/>
      <c r="J15" s="12"/>
      <c r="K15" s="12"/>
      <c r="L15" s="12"/>
      <c r="M15" s="12"/>
    </row>
    <row r="16" spans="1:13">
      <c r="A16" s="3"/>
      <c r="B16" s="40" t="s">
        <v>15</v>
      </c>
      <c r="C16" s="8"/>
      <c r="D16" s="15">
        <f>-Taxes!B39</f>
        <v>-6562.1304287593339</v>
      </c>
      <c r="E16" s="16"/>
      <c r="F16" s="15">
        <f>-Taxes!D39</f>
        <v>-10391.683273167906</v>
      </c>
      <c r="G16" s="16"/>
      <c r="H16" s="15">
        <f>-Taxes!F39</f>
        <v>-13119.166717811358</v>
      </c>
      <c r="I16" s="16"/>
      <c r="J16" s="12"/>
      <c r="K16" s="12"/>
      <c r="L16" s="12"/>
      <c r="M16" s="12"/>
    </row>
    <row r="17" spans="1:13">
      <c r="A17" s="3"/>
      <c r="B17" s="8"/>
      <c r="C17" s="8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1:13">
      <c r="A18" s="3"/>
      <c r="B18" s="8" t="s">
        <v>5</v>
      </c>
      <c r="C18" s="8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3">
      <c r="A19" s="3"/>
      <c r="B19" s="8" t="s">
        <v>6</v>
      </c>
      <c r="C19" s="8"/>
      <c r="D19" s="11">
        <f>(D28+D30)*12.5%</f>
        <v>0</v>
      </c>
      <c r="E19" s="11"/>
      <c r="F19" s="11">
        <f>(F28+F30)*12.5%</f>
        <v>0</v>
      </c>
      <c r="G19" s="11"/>
      <c r="H19" s="11">
        <f>(H28+H30)*12.5%</f>
        <v>0</v>
      </c>
      <c r="I19" s="11"/>
      <c r="J19" s="13"/>
      <c r="K19" s="13"/>
      <c r="L19" s="13"/>
      <c r="M19" s="13"/>
    </row>
    <row r="20" spans="1:13">
      <c r="A20" s="3"/>
      <c r="B20" s="8"/>
      <c r="C20" s="8"/>
      <c r="D20" s="13"/>
      <c r="E20" s="13"/>
      <c r="F20" s="13"/>
      <c r="G20" s="13"/>
      <c r="H20" s="13"/>
      <c r="I20" s="13"/>
      <c r="J20" s="13"/>
      <c r="K20" s="13"/>
      <c r="L20" s="13"/>
      <c r="M20" s="111"/>
    </row>
    <row r="21" spans="1:13" ht="15" thickBot="1">
      <c r="A21" s="3"/>
      <c r="B21" s="8" t="s">
        <v>7</v>
      </c>
      <c r="C21" s="8"/>
      <c r="D21" s="17">
        <f>SUM(D11:D19)</f>
        <v>13419927.839689242</v>
      </c>
      <c r="E21" s="18"/>
      <c r="F21" s="17">
        <f>SUM(F11:F19)</f>
        <v>22308720.883388914</v>
      </c>
      <c r="G21" s="18"/>
      <c r="H21" s="17">
        <f>SUM(H11:H19)</f>
        <v>34239864.436761521</v>
      </c>
      <c r="I21" s="18"/>
      <c r="J21" s="18"/>
      <c r="K21" s="18"/>
      <c r="L21" s="18"/>
      <c r="M21" s="18"/>
    </row>
    <row r="22" spans="1:13" ht="15" thickTop="1">
      <c r="A22" s="3"/>
      <c r="B22" s="8"/>
      <c r="C22" s="8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3"/>
      <c r="B23" s="19" t="s">
        <v>8</v>
      </c>
      <c r="C23" s="8"/>
      <c r="D23" s="75">
        <f>'Cost of Capital'!$D$12</f>
        <v>9.1399999999999995E-2</v>
      </c>
      <c r="E23" s="3"/>
      <c r="F23" s="75">
        <f>'Cost of Capital'!$D$12</f>
        <v>9.1399999999999995E-2</v>
      </c>
      <c r="G23" s="3"/>
      <c r="H23" s="75">
        <f>'Cost of Capital'!$D$12</f>
        <v>9.1399999999999995E-2</v>
      </c>
      <c r="I23" s="3"/>
      <c r="J23" s="3"/>
      <c r="K23" s="3"/>
      <c r="L23" s="3"/>
      <c r="M23" s="3"/>
    </row>
    <row r="24" spans="1:1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3"/>
      <c r="B25" s="21" t="s">
        <v>24</v>
      </c>
      <c r="C25" s="22"/>
      <c r="D25" s="76">
        <f>D23*D21</f>
        <v>1226581.4045475966</v>
      </c>
      <c r="E25" s="23"/>
      <c r="F25" s="76">
        <f>F23*F21</f>
        <v>2039017.0887417467</v>
      </c>
      <c r="G25" s="23"/>
      <c r="H25" s="76">
        <f>H23*H21</f>
        <v>3129523.6095200027</v>
      </c>
      <c r="I25" s="23"/>
      <c r="J25" s="24"/>
      <c r="K25" s="24"/>
      <c r="L25" s="24"/>
      <c r="M25" s="24"/>
    </row>
    <row r="26" spans="1:13">
      <c r="A26" s="3"/>
      <c r="B26" s="21"/>
      <c r="C26" s="22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3"/>
      <c r="B27" s="25" t="s">
        <v>9</v>
      </c>
      <c r="C27" s="26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3"/>
      <c r="B28" s="3" t="s">
        <v>10</v>
      </c>
      <c r="C28" s="3"/>
      <c r="D28" s="6">
        <v>0</v>
      </c>
      <c r="E28" s="3"/>
      <c r="F28" s="6">
        <v>0</v>
      </c>
      <c r="G28" s="3"/>
      <c r="H28" s="6">
        <v>0</v>
      </c>
      <c r="I28" s="6"/>
      <c r="J28" s="13"/>
      <c r="K28" s="13"/>
      <c r="L28" s="13"/>
      <c r="M28" s="13"/>
    </row>
    <row r="29" spans="1:13">
      <c r="A29" s="3"/>
      <c r="B29" s="3" t="s">
        <v>11</v>
      </c>
      <c r="C29" s="3"/>
      <c r="D29" s="11">
        <f>Depreciation!I26</f>
        <v>390396.59189909522</v>
      </c>
      <c r="E29" s="11"/>
      <c r="F29" s="11">
        <f>Depreciation!J26</f>
        <v>650683.50362495112</v>
      </c>
      <c r="G29" s="11"/>
      <c r="H29" s="11">
        <f>Depreciation!K26</f>
        <v>1008781.7767861952</v>
      </c>
      <c r="I29" s="11"/>
      <c r="J29" s="13"/>
      <c r="K29" s="13"/>
      <c r="L29" s="13"/>
      <c r="M29" s="13"/>
    </row>
    <row r="30" spans="1:13">
      <c r="A30" s="3"/>
      <c r="B30" s="3" t="s">
        <v>17</v>
      </c>
      <c r="C30" s="27"/>
      <c r="D30" s="28">
        <v>0</v>
      </c>
      <c r="E30" s="11"/>
      <c r="F30" s="28">
        <v>0</v>
      </c>
      <c r="G30" s="11"/>
      <c r="H30" s="28">
        <v>0</v>
      </c>
      <c r="I30" s="11"/>
      <c r="J30" s="30"/>
      <c r="K30" s="29"/>
      <c r="L30" s="29"/>
      <c r="M30" s="29"/>
    </row>
    <row r="31" spans="1:13">
      <c r="A31" s="3"/>
      <c r="B31" s="3" t="s">
        <v>16</v>
      </c>
      <c r="C31" s="27"/>
      <c r="D31" s="28"/>
      <c r="E31" s="11"/>
      <c r="F31" s="28"/>
      <c r="G31" s="11"/>
      <c r="H31" s="28"/>
      <c r="I31" s="11"/>
      <c r="J31" s="29"/>
      <c r="K31" s="29"/>
      <c r="L31" s="29"/>
      <c r="M31" s="29"/>
    </row>
    <row r="32" spans="1:13">
      <c r="A32" s="3"/>
      <c r="B32" s="3" t="s">
        <v>18</v>
      </c>
      <c r="C32" s="32"/>
      <c r="D32" s="11">
        <v>6304.7066795642813</v>
      </c>
      <c r="E32" s="11"/>
      <c r="F32" s="11">
        <v>10799.799144359547</v>
      </c>
      <c r="G32" s="11"/>
      <c r="H32" s="11">
        <v>18319.167577456501</v>
      </c>
      <c r="I32" s="11"/>
      <c r="J32" s="29"/>
      <c r="K32" s="29"/>
      <c r="L32" s="29"/>
      <c r="M32" s="29"/>
    </row>
    <row r="33" spans="1:13">
      <c r="A33" s="3"/>
      <c r="B33" s="3" t="s">
        <v>19</v>
      </c>
      <c r="C33" s="32"/>
      <c r="D33" s="11">
        <f>'Income Statement'!B24</f>
        <v>6562.1304287593339</v>
      </c>
      <c r="E33" s="11"/>
      <c r="F33" s="11">
        <f>'Income Statement'!D24</f>
        <v>10391.683273167906</v>
      </c>
      <c r="G33" s="11"/>
      <c r="H33" s="11">
        <f>'Income Statement'!F24</f>
        <v>13119.166717811358</v>
      </c>
      <c r="I33" s="11"/>
      <c r="J33" s="29"/>
      <c r="K33" s="29"/>
      <c r="L33" s="29"/>
      <c r="M33" s="29"/>
    </row>
    <row r="34" spans="1:13">
      <c r="A34" s="3"/>
      <c r="B34" s="3" t="s">
        <v>20</v>
      </c>
      <c r="C34" s="32"/>
      <c r="D34" s="11">
        <v>0</v>
      </c>
      <c r="E34" s="11"/>
      <c r="F34" s="11">
        <v>0</v>
      </c>
      <c r="G34" s="11"/>
      <c r="H34" s="11">
        <v>0</v>
      </c>
      <c r="I34" s="11"/>
      <c r="J34" s="29"/>
      <c r="K34" s="29"/>
      <c r="L34" s="29"/>
      <c r="M34" s="29"/>
    </row>
    <row r="35" spans="1:13">
      <c r="A35" s="3"/>
      <c r="B35" s="3" t="s">
        <v>21</v>
      </c>
      <c r="C35" s="3"/>
      <c r="D35" s="11">
        <f>Taxes!N65</f>
        <v>7612.6777562445113</v>
      </c>
      <c r="E35" s="11"/>
      <c r="F35" s="11">
        <f>Taxes!Q65</f>
        <v>12422.598056307415</v>
      </c>
      <c r="G35" s="11"/>
      <c r="H35" s="11">
        <f>Taxes!T65</f>
        <v>17802.304994220449</v>
      </c>
      <c r="I35" s="11"/>
      <c r="J35" s="33"/>
      <c r="K35" s="33"/>
      <c r="L35" s="33"/>
      <c r="M35" s="33"/>
    </row>
    <row r="36" spans="1:13">
      <c r="A36" s="3"/>
      <c r="B36" s="3"/>
      <c r="C36" s="3"/>
      <c r="D36" s="9"/>
      <c r="E36" s="33"/>
      <c r="F36" s="9"/>
      <c r="G36" s="33"/>
      <c r="H36" s="9"/>
      <c r="I36" s="33"/>
      <c r="J36" s="34"/>
      <c r="K36" s="34"/>
      <c r="L36" s="34"/>
      <c r="M36" s="34"/>
    </row>
    <row r="37" spans="1:13">
      <c r="A37" s="3"/>
      <c r="B37" s="35" t="s">
        <v>12</v>
      </c>
      <c r="C37" s="3"/>
      <c r="D37" s="42">
        <f>SUM(D28:D35)</f>
        <v>410876.10676366329</v>
      </c>
      <c r="E37" s="34"/>
      <c r="F37" s="42">
        <f>SUM(F28:F35)</f>
        <v>684297.584098786</v>
      </c>
      <c r="G37" s="34"/>
      <c r="H37" s="42">
        <f>SUM(H28:H35)</f>
        <v>1058022.4160756834</v>
      </c>
      <c r="I37" s="34"/>
      <c r="J37" s="34"/>
      <c r="K37" s="34"/>
      <c r="L37" s="34"/>
      <c r="M37" s="34"/>
    </row>
    <row r="38" spans="1:13">
      <c r="A38" s="3"/>
      <c r="B38" s="36"/>
      <c r="C38" s="3"/>
      <c r="D38" s="3"/>
      <c r="E38" s="34"/>
      <c r="F38" s="3"/>
      <c r="G38" s="34"/>
      <c r="H38" s="3"/>
      <c r="I38" s="34"/>
      <c r="J38" s="34"/>
      <c r="K38" s="34"/>
      <c r="L38" s="34"/>
      <c r="M38" s="34"/>
    </row>
    <row r="39" spans="1:13" ht="15" thickBot="1">
      <c r="A39" s="3"/>
      <c r="B39" s="37" t="s">
        <v>13</v>
      </c>
      <c r="C39" s="3"/>
      <c r="D39" s="41">
        <f>D37+D25</f>
        <v>1637457.5113112598</v>
      </c>
      <c r="E39" s="38"/>
      <c r="F39" s="41">
        <f>F37+F25</f>
        <v>2723314.6728405328</v>
      </c>
      <c r="G39" s="38"/>
      <c r="H39" s="41">
        <f>H37+H25</f>
        <v>4187546.0255956864</v>
      </c>
      <c r="I39" s="38"/>
      <c r="J39" s="38"/>
      <c r="K39" s="38"/>
      <c r="L39" s="38"/>
      <c r="M39" s="38"/>
    </row>
    <row r="40" spans="1:13" ht="15" thickTop="1">
      <c r="A40" s="3"/>
      <c r="B40" s="1"/>
      <c r="C40" s="3"/>
      <c r="D40" s="38"/>
      <c r="E40" s="38"/>
      <c r="F40" s="38"/>
      <c r="G40" s="38"/>
      <c r="H40" s="38"/>
      <c r="I40" s="38"/>
      <c r="J40" s="38"/>
      <c r="K40" s="38"/>
      <c r="L40" s="38"/>
      <c r="M40" s="38"/>
    </row>
    <row r="41" spans="1:13">
      <c r="A41" s="3"/>
      <c r="B41" s="112"/>
      <c r="C41" s="112"/>
      <c r="D41" s="112"/>
      <c r="E41" s="3"/>
      <c r="F41" s="3"/>
      <c r="G41" s="3"/>
      <c r="H41" s="3"/>
      <c r="I41" s="3"/>
      <c r="J41" s="83"/>
      <c r="K41" s="3"/>
      <c r="L41" s="3"/>
      <c r="M41" s="3"/>
    </row>
  </sheetData>
  <mergeCells count="7">
    <mergeCell ref="B41:D41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22881-DFF5-4A56-B113-C9A2B8E6B90F}">
  <dimension ref="A1:F15"/>
  <sheetViews>
    <sheetView workbookViewId="0">
      <selection activeCell="B27" sqref="B27"/>
    </sheetView>
  </sheetViews>
  <sheetFormatPr defaultRowHeight="14.4"/>
  <cols>
    <col min="1" max="1" width="26.77734375" customWidth="1"/>
    <col min="2" max="2" width="9.77734375" customWidth="1"/>
    <col min="3" max="3" width="15.77734375" bestFit="1" customWidth="1"/>
    <col min="4" max="4" width="9.77734375" customWidth="1"/>
    <col min="5" max="5" width="14.6640625" bestFit="1" customWidth="1"/>
    <col min="6" max="6" width="13.88671875" bestFit="1" customWidth="1"/>
    <col min="7" max="7" width="12.77734375" customWidth="1"/>
  </cols>
  <sheetData>
    <row r="1" spans="1:6">
      <c r="A1" s="112" t="s">
        <v>14</v>
      </c>
      <c r="B1" s="112"/>
      <c r="C1" s="112"/>
      <c r="D1" s="112"/>
      <c r="E1" s="112"/>
      <c r="F1" s="112"/>
    </row>
    <row r="2" spans="1:6">
      <c r="A2" s="112" t="str">
        <f>'Revenue Requirement'!A2</f>
        <v>Clean Energy Transistion Plan Project 1</v>
      </c>
      <c r="B2" s="112"/>
      <c r="C2" s="112"/>
      <c r="D2" s="112"/>
      <c r="E2" s="112"/>
      <c r="F2" s="112"/>
    </row>
    <row r="3" spans="1:6">
      <c r="A3" s="112" t="str">
        <f>'Revenue Requirement'!A3</f>
        <v>IPP Interconnection</v>
      </c>
      <c r="B3" s="112"/>
      <c r="C3" s="112"/>
      <c r="D3" s="112"/>
      <c r="E3" s="112"/>
      <c r="F3" s="112"/>
    </row>
    <row r="4" spans="1:6">
      <c r="A4" s="114" t="s">
        <v>25</v>
      </c>
      <c r="B4" s="114"/>
      <c r="C4" s="114"/>
      <c r="D4" s="114"/>
      <c r="E4" s="114"/>
      <c r="F4" s="114"/>
    </row>
    <row r="7" spans="1:6">
      <c r="A7" s="5"/>
      <c r="B7" s="5"/>
      <c r="C7" s="1" t="s">
        <v>26</v>
      </c>
      <c r="D7" s="1" t="s">
        <v>27</v>
      </c>
    </row>
    <row r="8" spans="1:6">
      <c r="A8" s="43" t="s">
        <v>25</v>
      </c>
      <c r="B8" s="4" t="s">
        <v>28</v>
      </c>
      <c r="C8" s="4" t="s">
        <v>29</v>
      </c>
      <c r="D8" s="4" t="s">
        <v>30</v>
      </c>
    </row>
    <row r="9" spans="1:6">
      <c r="A9" s="44" t="s">
        <v>31</v>
      </c>
      <c r="B9" s="45">
        <v>0.11749999999999999</v>
      </c>
      <c r="C9" s="45">
        <v>0.55000000000000004</v>
      </c>
      <c r="D9" s="45">
        <f>ROUND(+B9*C9,4)</f>
        <v>6.4600000000000005E-2</v>
      </c>
    </row>
    <row r="10" spans="1:6">
      <c r="A10" s="44" t="s">
        <v>32</v>
      </c>
      <c r="B10" s="24">
        <v>5.9586679681719427E-2</v>
      </c>
      <c r="C10" s="45">
        <v>0.45</v>
      </c>
      <c r="D10" s="45">
        <f>ROUND(+B10*C10,4)</f>
        <v>2.6800000000000001E-2</v>
      </c>
    </row>
    <row r="11" spans="1:6">
      <c r="A11" s="44"/>
      <c r="B11" s="20"/>
      <c r="C11" s="45"/>
      <c r="D11" s="45"/>
    </row>
    <row r="12" spans="1:6" ht="15" thickBot="1">
      <c r="A12" s="39" t="s">
        <v>33</v>
      </c>
      <c r="B12" s="3"/>
      <c r="C12" s="46">
        <v>1</v>
      </c>
      <c r="D12" s="46">
        <f>ROUND(SUM(D9:D10),4)</f>
        <v>9.1399999999999995E-2</v>
      </c>
    </row>
    <row r="13" spans="1:6" ht="15" thickTop="1"/>
    <row r="15" spans="1:6">
      <c r="A15" s="44" t="s">
        <v>126</v>
      </c>
      <c r="B15" s="47"/>
    </row>
  </sheetData>
  <mergeCells count="4">
    <mergeCell ref="A1:F1"/>
    <mergeCell ref="A2:F2"/>
    <mergeCell ref="A3:F3"/>
    <mergeCell ref="A4:F4"/>
  </mergeCells>
  <phoneticPr fontId="14" type="noConversion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EC82-F79F-46AB-832F-2F0E4CEE0F61}">
  <dimension ref="A1:K64"/>
  <sheetViews>
    <sheetView workbookViewId="0">
      <selection activeCell="A2" sqref="A2:H3"/>
    </sheetView>
  </sheetViews>
  <sheetFormatPr defaultRowHeight="14.4"/>
  <cols>
    <col min="1" max="1" width="29.5546875" bestFit="1" customWidth="1"/>
    <col min="2" max="2" width="9.33203125" bestFit="1" customWidth="1"/>
    <col min="3" max="3" width="9.21875" bestFit="1" customWidth="1"/>
    <col min="4" max="4" width="13" bestFit="1" customWidth="1"/>
    <col min="5" max="5" width="14.6640625" bestFit="1" customWidth="1"/>
    <col min="6" max="6" width="14.21875" customWidth="1"/>
    <col min="7" max="7" width="14.21875" bestFit="1" customWidth="1"/>
    <col min="8" max="8" width="5.88671875" customWidth="1"/>
    <col min="9" max="11" width="13.77734375" bestFit="1" customWidth="1"/>
    <col min="12" max="12" width="48.88671875" bestFit="1" customWidth="1"/>
    <col min="13" max="13" width="8.77734375" customWidth="1"/>
    <col min="14" max="14" width="19.77734375" bestFit="1" customWidth="1"/>
  </cols>
  <sheetData>
    <row r="1" spans="1:11">
      <c r="A1" s="112" t="s">
        <v>14</v>
      </c>
      <c r="B1" s="112"/>
      <c r="C1" s="112"/>
      <c r="D1" s="112"/>
      <c r="E1" s="112"/>
      <c r="F1" s="112"/>
      <c r="G1" s="112"/>
      <c r="H1" s="112"/>
    </row>
    <row r="2" spans="1:11">
      <c r="A2" s="112" t="str">
        <f>'Revenue Requirement'!A2</f>
        <v>Clean Energy Transistion Plan Project 1</v>
      </c>
      <c r="B2" s="112"/>
      <c r="C2" s="112"/>
      <c r="D2" s="112"/>
      <c r="E2" s="112"/>
      <c r="F2" s="112"/>
      <c r="G2" s="112"/>
      <c r="H2" s="112"/>
    </row>
    <row r="3" spans="1:11">
      <c r="A3" s="112" t="str">
        <f>'Revenue Requirement'!A3</f>
        <v>IPP Interconnection</v>
      </c>
      <c r="B3" s="112"/>
      <c r="C3" s="112"/>
      <c r="D3" s="112"/>
      <c r="E3" s="112"/>
      <c r="F3" s="112"/>
      <c r="G3" s="112"/>
      <c r="H3" s="112"/>
    </row>
    <row r="4" spans="1:11">
      <c r="A4" s="114" t="s">
        <v>11</v>
      </c>
      <c r="B4" s="114"/>
      <c r="C4" s="114"/>
      <c r="D4" s="114"/>
      <c r="E4" s="114"/>
      <c r="F4" s="114"/>
      <c r="G4" s="114"/>
      <c r="H4" s="114"/>
    </row>
    <row r="7" spans="1:11">
      <c r="B7" s="87" t="s">
        <v>118</v>
      </c>
      <c r="C7" s="87" t="s">
        <v>119</v>
      </c>
      <c r="D7" s="87" t="s">
        <v>120</v>
      </c>
      <c r="E7" s="87" t="s">
        <v>35</v>
      </c>
      <c r="F7" s="87" t="s">
        <v>108</v>
      </c>
      <c r="G7" s="87" t="s">
        <v>33</v>
      </c>
      <c r="I7" s="87">
        <v>2024</v>
      </c>
      <c r="J7" s="87">
        <v>2025</v>
      </c>
      <c r="K7" s="87">
        <v>2026</v>
      </c>
    </row>
    <row r="8" spans="1:11">
      <c r="A8" t="s">
        <v>109</v>
      </c>
      <c r="B8" s="96">
        <v>45292</v>
      </c>
      <c r="C8" s="96">
        <v>45657</v>
      </c>
      <c r="D8" s="109">
        <f>DATEDIF(B8, C8, "M")+1</f>
        <v>12</v>
      </c>
      <c r="E8" s="109">
        <v>10802079.870000001</v>
      </c>
      <c r="F8" s="109">
        <f>(E8*'Cost of Capital'!$D$12)/12*D8</f>
        <v>987310.10011800006</v>
      </c>
      <c r="G8" s="109">
        <f>E8+F8</f>
        <v>11789389.970118001</v>
      </c>
      <c r="I8" s="48">
        <f>G8</f>
        <v>11789389.970118001</v>
      </c>
      <c r="J8" s="48">
        <v>0</v>
      </c>
      <c r="K8" s="48">
        <v>0</v>
      </c>
    </row>
    <row r="9" spans="1:11">
      <c r="A9" t="s">
        <v>109</v>
      </c>
      <c r="B9" s="96">
        <v>45658</v>
      </c>
      <c r="C9" s="96">
        <v>46022</v>
      </c>
      <c r="D9" s="109">
        <f t="shared" ref="D9:D15" si="0">DATEDIF(B9, C9, "M")+1</f>
        <v>12</v>
      </c>
      <c r="E9" s="109">
        <v>17080893.867200002</v>
      </c>
      <c r="F9" s="109">
        <f>(E9*'Cost of Capital'!$D$12)/12*D9</f>
        <v>1561193.6994620801</v>
      </c>
      <c r="G9" s="109">
        <f t="shared" ref="G9:G15" si="1">E9+F9</f>
        <v>18642087.566662081</v>
      </c>
      <c r="I9" s="48">
        <v>0</v>
      </c>
      <c r="J9" s="48">
        <f>G9</f>
        <v>18642087.566662081</v>
      </c>
      <c r="K9" s="48">
        <v>0</v>
      </c>
    </row>
    <row r="10" spans="1:11">
      <c r="A10" t="s">
        <v>109</v>
      </c>
      <c r="B10" s="96">
        <v>46023</v>
      </c>
      <c r="C10" s="96">
        <v>46387</v>
      </c>
      <c r="D10" s="109">
        <f t="shared" si="0"/>
        <v>12</v>
      </c>
      <c r="E10" s="109">
        <v>18352589.640000001</v>
      </c>
      <c r="F10" s="109">
        <f>(E10*'Cost of Capital'!$D$12)/12*D10</f>
        <v>1677426.6930960002</v>
      </c>
      <c r="G10" s="109">
        <f t="shared" si="1"/>
        <v>20030016.333096001</v>
      </c>
      <c r="I10" s="48">
        <v>0</v>
      </c>
      <c r="J10" s="48">
        <v>0</v>
      </c>
      <c r="K10" s="48">
        <f>G10</f>
        <v>20030016.333096001</v>
      </c>
    </row>
    <row r="11" spans="1:11">
      <c r="A11" t="s">
        <v>121</v>
      </c>
      <c r="B11" s="96">
        <v>45292</v>
      </c>
      <c r="C11" s="96">
        <v>45657</v>
      </c>
      <c r="D11" s="109">
        <f t="shared" si="0"/>
        <v>12</v>
      </c>
      <c r="E11" s="109">
        <v>1500000</v>
      </c>
      <c r="F11" s="109">
        <f>(E11*'Cost of Capital'!$D$12)/12*D11</f>
        <v>137100</v>
      </c>
      <c r="G11" s="109">
        <f t="shared" si="1"/>
        <v>1637100</v>
      </c>
      <c r="I11" s="48">
        <f>+G11</f>
        <v>1637100</v>
      </c>
      <c r="J11" s="48">
        <v>0</v>
      </c>
      <c r="K11" s="48">
        <v>0</v>
      </c>
    </row>
    <row r="12" spans="1:11">
      <c r="A12" t="s">
        <v>121</v>
      </c>
      <c r="B12" s="96">
        <v>45658</v>
      </c>
      <c r="C12" s="96">
        <v>46022</v>
      </c>
      <c r="D12" s="109">
        <f t="shared" si="0"/>
        <v>12</v>
      </c>
      <c r="E12" s="109">
        <v>1500000</v>
      </c>
      <c r="F12" s="109">
        <f>(E12*'Cost of Capital'!$D$12)/12*D12</f>
        <v>137100</v>
      </c>
      <c r="G12" s="109">
        <f t="shared" si="1"/>
        <v>1637100</v>
      </c>
      <c r="I12" s="48">
        <v>0</v>
      </c>
      <c r="J12" s="48">
        <f>G12</f>
        <v>1637100</v>
      </c>
      <c r="K12" s="48">
        <v>0</v>
      </c>
    </row>
    <row r="13" spans="1:11">
      <c r="A13" t="s">
        <v>122</v>
      </c>
      <c r="B13" s="96">
        <v>45323</v>
      </c>
      <c r="C13" s="96">
        <v>46022</v>
      </c>
      <c r="D13" s="109">
        <f t="shared" si="0"/>
        <v>23</v>
      </c>
      <c r="E13" s="109">
        <v>900000</v>
      </c>
      <c r="F13" s="109">
        <f>(E13*'Cost of Capital'!$D$12)/12*D13</f>
        <v>157665</v>
      </c>
      <c r="G13" s="109">
        <f t="shared" si="1"/>
        <v>1057665</v>
      </c>
      <c r="I13" s="48">
        <v>0</v>
      </c>
      <c r="J13" s="48">
        <f>G13</f>
        <v>1057665</v>
      </c>
      <c r="K13" s="48">
        <v>0</v>
      </c>
    </row>
    <row r="14" spans="1:11">
      <c r="A14" t="s">
        <v>122</v>
      </c>
      <c r="B14" s="96">
        <v>45658</v>
      </c>
      <c r="C14" s="96">
        <v>46022</v>
      </c>
      <c r="D14" s="109">
        <f t="shared" si="0"/>
        <v>12</v>
      </c>
      <c r="E14" s="109">
        <v>900000</v>
      </c>
      <c r="F14" s="109">
        <f>(E14*'Cost of Capital'!$D$12)/12*D14</f>
        <v>82260</v>
      </c>
      <c r="G14" s="109">
        <f t="shared" si="1"/>
        <v>982260</v>
      </c>
      <c r="I14" s="48">
        <v>0</v>
      </c>
      <c r="J14" s="48">
        <f>G14</f>
        <v>982260</v>
      </c>
      <c r="K14" s="48">
        <v>0</v>
      </c>
    </row>
    <row r="15" spans="1:11">
      <c r="A15" t="s">
        <v>123</v>
      </c>
      <c r="B15" s="96">
        <v>45444</v>
      </c>
      <c r="C15" s="96">
        <v>46387</v>
      </c>
      <c r="D15" s="109">
        <f t="shared" si="0"/>
        <v>31</v>
      </c>
      <c r="E15" s="109">
        <v>11506169</v>
      </c>
      <c r="F15" s="109">
        <f>(E15*'Cost of Capital'!$D$12)/12*D15</f>
        <v>2716798.2703833333</v>
      </c>
      <c r="G15" s="109">
        <f t="shared" si="1"/>
        <v>14222967.270383334</v>
      </c>
      <c r="I15" s="48">
        <v>0</v>
      </c>
      <c r="J15" s="48">
        <v>0</v>
      </c>
      <c r="K15" s="48">
        <f>G15</f>
        <v>14222967.270383334</v>
      </c>
    </row>
    <row r="16" spans="1:11">
      <c r="B16" s="96"/>
      <c r="C16" s="96"/>
      <c r="D16" s="109"/>
      <c r="E16" s="85"/>
      <c r="F16" s="85"/>
      <c r="G16" s="85"/>
      <c r="I16" s="48"/>
      <c r="J16" s="48"/>
      <c r="K16" s="48"/>
    </row>
    <row r="17" spans="1:11" ht="15" thickBot="1">
      <c r="E17" s="89">
        <f>SUM(E8:E16)</f>
        <v>62541732.377200007</v>
      </c>
      <c r="F17" s="89">
        <f>SUM(F8:F16)</f>
        <v>7456853.7630594149</v>
      </c>
      <c r="G17" s="89">
        <f>SUM(G8:G16)</f>
        <v>69998586.140259415</v>
      </c>
      <c r="I17" s="89">
        <f>SUM(I8:I16)</f>
        <v>13426489.970118001</v>
      </c>
      <c r="J17" s="89">
        <f>SUM(J8:J16)</f>
        <v>22319112.566662081</v>
      </c>
      <c r="K17" s="89">
        <f>SUM(K8:K16)</f>
        <v>34252983.603479333</v>
      </c>
    </row>
    <row r="18" spans="1:11" ht="15" thickTop="1">
      <c r="I18" s="31"/>
      <c r="J18" s="31"/>
      <c r="K18" s="82"/>
    </row>
    <row r="19" spans="1:11" ht="15.6">
      <c r="E19" s="84"/>
      <c r="G19" s="86"/>
      <c r="I19" s="31"/>
      <c r="J19" s="31"/>
    </row>
    <row r="20" spans="1:11">
      <c r="E20" s="48"/>
      <c r="I20" s="48"/>
      <c r="J20" s="48"/>
      <c r="K20" s="48"/>
    </row>
    <row r="22" spans="1:11">
      <c r="A22" t="s">
        <v>36</v>
      </c>
      <c r="H22" s="50">
        <v>2.9046640777427968E-2</v>
      </c>
      <c r="I22" s="48">
        <f>SUM(I8:I10)*$H22</f>
        <v>342442.17544702982</v>
      </c>
      <c r="J22" s="48">
        <f>SUM(J8:J10)*$H22</f>
        <v>541490.02089018968</v>
      </c>
      <c r="K22" s="48">
        <f>SUM(K8:K10)*$H22</f>
        <v>581804.68919345457</v>
      </c>
    </row>
    <row r="23" spans="1:11">
      <c r="A23" t="s">
        <v>36</v>
      </c>
      <c r="H23" s="105">
        <v>2.9292295187872075E-2</v>
      </c>
      <c r="I23" s="48">
        <f>SUM(I11:I12)*$H23</f>
        <v>47954.416452065372</v>
      </c>
      <c r="J23" s="48">
        <f>SUM(J11:J12)*$H23</f>
        <v>47954.416452065372</v>
      </c>
      <c r="K23" s="48">
        <f>SUM(K11:K12)*$H23</f>
        <v>0</v>
      </c>
    </row>
    <row r="24" spans="1:11">
      <c r="A24" t="s">
        <v>36</v>
      </c>
      <c r="H24" s="105">
        <v>3.0020253824378861E-2</v>
      </c>
      <c r="I24" s="48">
        <f>SUM(I13:I15)*$H24</f>
        <v>0</v>
      </c>
      <c r="J24" s="48">
        <f>SUM(J13:J15)*$H24</f>
        <v>61239.066282696047</v>
      </c>
      <c r="K24" s="48">
        <f>SUM(K13:K15)*$H24</f>
        <v>426977.08759274066</v>
      </c>
    </row>
    <row r="26" spans="1:11" ht="15" thickBot="1">
      <c r="A26" t="s">
        <v>37</v>
      </c>
      <c r="E26" s="31"/>
      <c r="I26" s="49">
        <f>SUM(I22:I25)</f>
        <v>390396.59189909522</v>
      </c>
      <c r="J26" s="49">
        <f t="shared" ref="J26:K26" si="2">SUM(J22:J25)</f>
        <v>650683.50362495112</v>
      </c>
      <c r="K26" s="49">
        <f t="shared" si="2"/>
        <v>1008781.7767861952</v>
      </c>
    </row>
    <row r="28" spans="1:11">
      <c r="I28" s="31"/>
      <c r="J28" s="31"/>
      <c r="K28" s="31"/>
    </row>
    <row r="29" spans="1:11">
      <c r="I29" s="31"/>
      <c r="J29" s="31"/>
      <c r="K29" s="31"/>
    </row>
    <row r="30" spans="1:11">
      <c r="A30" s="103" t="s">
        <v>114</v>
      </c>
      <c r="B30" s="108"/>
      <c r="C30" s="105"/>
      <c r="D30" s="105"/>
    </row>
    <row r="31" spans="1:11">
      <c r="A31" s="104" t="s">
        <v>110</v>
      </c>
      <c r="B31" s="105">
        <v>2.2862237353004744E-2</v>
      </c>
      <c r="C31" s="105"/>
    </row>
    <row r="32" spans="1:11">
      <c r="A32" s="104" t="s">
        <v>107</v>
      </c>
      <c r="B32" s="105">
        <v>3.4011776744456185E-2</v>
      </c>
      <c r="C32" s="105"/>
    </row>
    <row r="33" spans="1:11">
      <c r="A33" s="104" t="s">
        <v>115</v>
      </c>
      <c r="B33" s="105">
        <v>2.9292295187872075E-2</v>
      </c>
      <c r="C33" s="105"/>
      <c r="G33" s="31"/>
    </row>
    <row r="34" spans="1:11">
      <c r="A34" s="104" t="s">
        <v>116</v>
      </c>
      <c r="B34" s="106">
        <v>3.0020253824378861E-2</v>
      </c>
      <c r="C34" s="105"/>
      <c r="G34" s="31"/>
    </row>
    <row r="35" spans="1:11">
      <c r="B35" s="105">
        <f>AVERAGE(B31:B34)</f>
        <v>2.9046640777427968E-2</v>
      </c>
      <c r="C35" t="s">
        <v>117</v>
      </c>
      <c r="G35" s="31"/>
    </row>
    <row r="40" spans="1:11">
      <c r="I40" s="48"/>
      <c r="J40" s="48"/>
      <c r="K40" s="48"/>
    </row>
    <row r="43" spans="1:11">
      <c r="I43" s="88"/>
      <c r="J43" s="88"/>
      <c r="K43" s="88"/>
    </row>
    <row r="45" spans="1:11">
      <c r="I45" s="31"/>
      <c r="J45" s="31"/>
      <c r="K45" s="31"/>
    </row>
    <row r="46" spans="1:11" ht="15" thickBot="1">
      <c r="I46" s="31"/>
      <c r="J46" s="31"/>
      <c r="K46" s="31"/>
    </row>
    <row r="47" spans="1:11" ht="57.6" thickBot="1">
      <c r="A47" s="77" t="s">
        <v>77</v>
      </c>
      <c r="B47" s="78" t="s">
        <v>78</v>
      </c>
      <c r="C47" s="78" t="s">
        <v>79</v>
      </c>
      <c r="D47" s="78" t="s">
        <v>80</v>
      </c>
      <c r="E47" s="97" t="s">
        <v>81</v>
      </c>
      <c r="F47" s="102" t="s">
        <v>112</v>
      </c>
      <c r="G47" s="31"/>
    </row>
    <row r="48" spans="1:11" ht="15" thickBot="1">
      <c r="A48" s="79" t="s">
        <v>82</v>
      </c>
      <c r="B48" s="80">
        <v>2024</v>
      </c>
      <c r="C48" s="80">
        <v>8000</v>
      </c>
      <c r="D48" s="80" t="s">
        <v>83</v>
      </c>
      <c r="E48" s="98" t="s">
        <v>84</v>
      </c>
      <c r="F48" s="101">
        <v>3968327.7</v>
      </c>
      <c r="G48" s="31"/>
    </row>
    <row r="49" spans="1:7" ht="15" thickBot="1">
      <c r="A49" s="79" t="s">
        <v>85</v>
      </c>
      <c r="B49" s="80">
        <v>2024</v>
      </c>
      <c r="C49" s="80">
        <v>5000</v>
      </c>
      <c r="D49" s="80" t="s">
        <v>83</v>
      </c>
      <c r="E49" s="98" t="s">
        <v>86</v>
      </c>
      <c r="F49" s="101">
        <v>1906288.6</v>
      </c>
      <c r="G49" s="31"/>
    </row>
    <row r="50" spans="1:7" ht="15" thickBot="1">
      <c r="A50" s="79" t="s">
        <v>87</v>
      </c>
      <c r="B50" s="80">
        <v>2024</v>
      </c>
      <c r="C50" s="81">
        <v>4515</v>
      </c>
      <c r="D50" s="80" t="s">
        <v>83</v>
      </c>
      <c r="E50" s="98" t="s">
        <v>84</v>
      </c>
      <c r="F50" s="101">
        <v>4427463.57</v>
      </c>
      <c r="G50" s="31"/>
    </row>
    <row r="51" spans="1:7" ht="15" thickBot="1">
      <c r="A51" s="79" t="s">
        <v>88</v>
      </c>
      <c r="B51" s="80">
        <v>2024</v>
      </c>
      <c r="C51" s="81">
        <v>3600</v>
      </c>
      <c r="D51" s="80" t="s">
        <v>89</v>
      </c>
      <c r="E51" s="98" t="s">
        <v>84</v>
      </c>
      <c r="F51" s="101">
        <v>500000</v>
      </c>
      <c r="G51" s="82"/>
    </row>
    <row r="52" spans="1:7" ht="15" thickBot="1">
      <c r="A52" s="79" t="s">
        <v>90</v>
      </c>
      <c r="B52" s="80">
        <v>2025</v>
      </c>
      <c r="C52" s="81">
        <v>10000</v>
      </c>
      <c r="D52" s="80" t="s">
        <v>83</v>
      </c>
      <c r="E52" s="98" t="s">
        <v>91</v>
      </c>
      <c r="F52" s="101">
        <v>1594780.22</v>
      </c>
      <c r="G52" s="31"/>
    </row>
    <row r="53" spans="1:7" ht="15" thickBot="1">
      <c r="A53" s="79" t="s">
        <v>92</v>
      </c>
      <c r="B53" s="80">
        <v>2025</v>
      </c>
      <c r="C53" s="81">
        <v>7000</v>
      </c>
      <c r="D53" s="80" t="s">
        <v>83</v>
      </c>
      <c r="E53" s="98" t="s">
        <v>93</v>
      </c>
      <c r="F53" s="101">
        <v>2258152.2800000003</v>
      </c>
      <c r="G53" s="31"/>
    </row>
    <row r="54" spans="1:7" ht="15" thickBot="1">
      <c r="A54" s="79" t="s">
        <v>94</v>
      </c>
      <c r="B54" s="80">
        <v>2025</v>
      </c>
      <c r="C54" s="80">
        <v>13000</v>
      </c>
      <c r="D54" s="81" t="s">
        <v>95</v>
      </c>
      <c r="E54" s="98" t="s">
        <v>84</v>
      </c>
      <c r="F54" s="101">
        <v>4200539.0172000006</v>
      </c>
      <c r="G54" s="31"/>
    </row>
    <row r="55" spans="1:7" ht="15" thickBot="1">
      <c r="A55" s="79" t="s">
        <v>96</v>
      </c>
      <c r="B55" s="81">
        <v>2025</v>
      </c>
      <c r="C55" s="81">
        <v>9800</v>
      </c>
      <c r="D55" s="80" t="s">
        <v>83</v>
      </c>
      <c r="E55" s="98" t="s">
        <v>84</v>
      </c>
      <c r="F55" s="101">
        <v>500000</v>
      </c>
      <c r="G55" s="31"/>
    </row>
    <row r="56" spans="1:7" ht="15" thickBot="1">
      <c r="A56" s="79" t="s">
        <v>97</v>
      </c>
      <c r="B56" s="81">
        <v>2025</v>
      </c>
      <c r="C56" s="81">
        <v>4800</v>
      </c>
      <c r="D56" s="80" t="s">
        <v>83</v>
      </c>
      <c r="E56" s="98" t="s">
        <v>84</v>
      </c>
      <c r="F56" s="101">
        <v>500000</v>
      </c>
      <c r="G56" s="31"/>
    </row>
    <row r="57" spans="1:7" ht="15" thickBot="1">
      <c r="A57" s="79" t="s">
        <v>98</v>
      </c>
      <c r="B57" s="81">
        <v>2025</v>
      </c>
      <c r="C57" s="81">
        <v>25000</v>
      </c>
      <c r="D57" s="80" t="s">
        <v>99</v>
      </c>
      <c r="E57" s="99" t="s">
        <v>100</v>
      </c>
      <c r="F57" s="101">
        <v>8027422.3499999996</v>
      </c>
      <c r="G57" s="82"/>
    </row>
    <row r="58" spans="1:7" ht="15" thickBot="1">
      <c r="A58" s="79" t="s">
        <v>101</v>
      </c>
      <c r="B58" s="80">
        <v>2026</v>
      </c>
      <c r="C58" s="81">
        <v>5000</v>
      </c>
      <c r="D58" s="80" t="s">
        <v>83</v>
      </c>
      <c r="E58" s="98" t="s">
        <v>100</v>
      </c>
      <c r="F58" s="101">
        <v>3139484.44</v>
      </c>
      <c r="G58" s="31"/>
    </row>
    <row r="59" spans="1:7" ht="15" thickBot="1">
      <c r="A59" s="79" t="s">
        <v>102</v>
      </c>
      <c r="B59" s="80">
        <v>2026</v>
      </c>
      <c r="C59" s="81">
        <v>11250</v>
      </c>
      <c r="D59" s="80" t="s">
        <v>83</v>
      </c>
      <c r="E59" s="98" t="s">
        <v>86</v>
      </c>
      <c r="F59" s="101">
        <v>1906288.6</v>
      </c>
      <c r="G59" s="31"/>
    </row>
    <row r="60" spans="1:7" ht="15" thickBot="1">
      <c r="A60" s="79" t="s">
        <v>103</v>
      </c>
      <c r="B60" s="80">
        <v>2026</v>
      </c>
      <c r="C60" s="81">
        <v>9900</v>
      </c>
      <c r="D60" s="80" t="s">
        <v>83</v>
      </c>
      <c r="E60" s="98" t="s">
        <v>104</v>
      </c>
      <c r="F60" s="101">
        <v>1906288.6</v>
      </c>
      <c r="G60" s="31"/>
    </row>
    <row r="61" spans="1:7" ht="15" thickBot="1">
      <c r="A61" s="79" t="s">
        <v>105</v>
      </c>
      <c r="B61" s="81">
        <v>2026</v>
      </c>
      <c r="C61" s="81">
        <v>30000</v>
      </c>
      <c r="D61" s="80" t="s">
        <v>89</v>
      </c>
      <c r="E61" s="99" t="s">
        <v>93</v>
      </c>
      <c r="F61" s="101">
        <v>11400528</v>
      </c>
      <c r="G61" s="82"/>
    </row>
    <row r="62" spans="1:7">
      <c r="A62" s="51"/>
      <c r="B62" s="51"/>
      <c r="G62" s="31"/>
    </row>
    <row r="63" spans="1:7">
      <c r="A63" s="51"/>
      <c r="B63" s="51"/>
      <c r="E63" s="100" t="s">
        <v>113</v>
      </c>
      <c r="F63" s="82">
        <f>SUM(F48:F62)</f>
        <v>46235563.3772</v>
      </c>
      <c r="G63" s="31"/>
    </row>
    <row r="64" spans="1:7">
      <c r="D64" s="31"/>
      <c r="E64" s="31"/>
      <c r="F64" s="31"/>
    </row>
  </sheetData>
  <mergeCells count="4">
    <mergeCell ref="A1:H1"/>
    <mergeCell ref="A2:H2"/>
    <mergeCell ref="A3:H3"/>
    <mergeCell ref="A4:H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2FA43-B904-4BA4-9127-85407810A438}">
  <dimension ref="A1:U66"/>
  <sheetViews>
    <sheetView workbookViewId="0">
      <selection activeCell="A22" sqref="A22"/>
    </sheetView>
  </sheetViews>
  <sheetFormatPr defaultRowHeight="14.4" outlineLevelCol="1"/>
  <cols>
    <col min="1" max="1" width="48.5546875" customWidth="1"/>
    <col min="2" max="2" width="10.5546875" bestFit="1" customWidth="1"/>
    <col min="3" max="3" width="2.33203125" customWidth="1"/>
    <col min="4" max="4" width="10.5546875" bestFit="1" customWidth="1"/>
    <col min="5" max="5" width="2.21875" customWidth="1"/>
    <col min="6" max="6" width="10.5546875" bestFit="1" customWidth="1"/>
    <col min="7" max="7" width="13.21875" bestFit="1" customWidth="1"/>
    <col min="8" max="8" width="13.21875" hidden="1" customWidth="1" outlineLevel="1"/>
    <col min="9" max="9" width="0" hidden="1" customWidth="1" outlineLevel="1"/>
    <col min="10" max="10" width="24.77734375" hidden="1" customWidth="1" outlineLevel="1"/>
    <col min="11" max="11" width="5" hidden="1" customWidth="1" outlineLevel="1"/>
    <col min="12" max="12" width="7.109375" hidden="1" customWidth="1" outlineLevel="1"/>
    <col min="13" max="13" width="11.5546875" hidden="1" customWidth="1" outlineLevel="1"/>
    <col min="14" max="14" width="8.77734375" hidden="1" customWidth="1" outlineLevel="1"/>
    <col min="15" max="15" width="2.109375" hidden="1" customWidth="1" outlineLevel="1"/>
    <col min="16" max="16" width="11.5546875" hidden="1" customWidth="1" outlineLevel="1"/>
    <col min="17" max="17" width="9.5546875" hidden="1" customWidth="1" outlineLevel="1"/>
    <col min="18" max="18" width="2.109375" hidden="1" customWidth="1" outlineLevel="1"/>
    <col min="19" max="19" width="11.5546875" hidden="1" customWidth="1" outlineLevel="1"/>
    <col min="20" max="20" width="9.5546875" hidden="1" customWidth="1" outlineLevel="1"/>
    <col min="21" max="21" width="3.109375" customWidth="1" collapsed="1"/>
  </cols>
  <sheetData>
    <row r="1" spans="1:21">
      <c r="A1" s="112" t="s">
        <v>14</v>
      </c>
      <c r="B1" s="112"/>
      <c r="C1" s="112"/>
      <c r="D1" s="112"/>
      <c r="E1" s="112"/>
      <c r="F1" s="112"/>
      <c r="G1" s="112"/>
      <c r="U1" s="91"/>
    </row>
    <row r="2" spans="1:21">
      <c r="A2" s="112" t="str">
        <f>'Revenue Requirement'!A2</f>
        <v>Clean Energy Transistion Plan Project 1</v>
      </c>
      <c r="B2" s="112"/>
      <c r="C2" s="112"/>
      <c r="D2" s="112"/>
      <c r="E2" s="112"/>
      <c r="F2" s="112"/>
      <c r="G2" s="112"/>
      <c r="U2" s="54"/>
    </row>
    <row r="3" spans="1:21">
      <c r="A3" s="112" t="str">
        <f>'Revenue Requirement'!A3</f>
        <v>IPP Interconnection</v>
      </c>
      <c r="B3" s="112"/>
      <c r="C3" s="112"/>
      <c r="D3" s="112"/>
      <c r="E3" s="112"/>
      <c r="F3" s="112"/>
      <c r="G3" s="112"/>
      <c r="U3" s="92"/>
    </row>
    <row r="4" spans="1:21">
      <c r="A4" s="114" t="s">
        <v>16</v>
      </c>
      <c r="B4" s="114"/>
      <c r="C4" s="114"/>
      <c r="D4" s="114"/>
      <c r="E4" s="114"/>
      <c r="F4" s="114"/>
      <c r="G4" s="114"/>
      <c r="U4" s="92"/>
    </row>
    <row r="5" spans="1:21">
      <c r="U5" s="92"/>
    </row>
    <row r="6" spans="1:21">
      <c r="U6" s="92"/>
    </row>
    <row r="7" spans="1:21" s="54" customFormat="1" ht="15" thickBot="1">
      <c r="A7" s="52" t="s">
        <v>38</v>
      </c>
      <c r="B7" s="53" t="s">
        <v>39</v>
      </c>
      <c r="C7"/>
      <c r="D7" s="53" t="s">
        <v>40</v>
      </c>
      <c r="E7"/>
      <c r="F7" s="53" t="s">
        <v>41</v>
      </c>
      <c r="J7" s="59" t="s">
        <v>53</v>
      </c>
      <c r="K7" s="57" t="s">
        <v>54</v>
      </c>
      <c r="L7" s="57" t="s">
        <v>28</v>
      </c>
      <c r="M7" s="58" t="s">
        <v>35</v>
      </c>
      <c r="N7" s="57">
        <v>2024</v>
      </c>
      <c r="O7" s="91"/>
      <c r="P7" s="58" t="s">
        <v>35</v>
      </c>
      <c r="Q7" s="57">
        <v>2025</v>
      </c>
      <c r="R7" s="91"/>
      <c r="S7" s="58" t="s">
        <v>35</v>
      </c>
      <c r="T7" s="57">
        <v>2026</v>
      </c>
      <c r="U7" s="92"/>
    </row>
    <row r="8" spans="1:21" s="54" customFormat="1">
      <c r="A8" s="55"/>
      <c r="C8"/>
      <c r="E8"/>
      <c r="J8" s="59"/>
      <c r="U8" s="92"/>
    </row>
    <row r="9" spans="1:21" s="54" customFormat="1">
      <c r="A9" s="55"/>
      <c r="C9"/>
      <c r="E9"/>
      <c r="J9" s="59" t="s">
        <v>106</v>
      </c>
      <c r="K9" s="59">
        <v>2024</v>
      </c>
      <c r="L9" s="60">
        <v>0.05</v>
      </c>
      <c r="M9" s="61">
        <f>+Depreciation!I8+Depreciation!I9+Depreciation!I10</f>
        <v>11789389.970118001</v>
      </c>
      <c r="N9" s="61">
        <f>M9*$L9</f>
        <v>589469.49850590003</v>
      </c>
      <c r="O9" s="92"/>
      <c r="P9" s="61"/>
      <c r="Q9" s="61"/>
      <c r="R9" s="92"/>
      <c r="S9" s="61"/>
      <c r="T9" s="61"/>
      <c r="U9" s="92"/>
    </row>
    <row r="10" spans="1:21" s="54" customFormat="1">
      <c r="A10" s="55"/>
      <c r="C10"/>
      <c r="E10"/>
      <c r="J10" s="59" t="s">
        <v>106</v>
      </c>
      <c r="K10" s="59">
        <v>2025</v>
      </c>
      <c r="L10" s="60">
        <v>0.05</v>
      </c>
      <c r="M10" s="61"/>
      <c r="N10" s="61"/>
      <c r="O10" s="92"/>
      <c r="P10" s="61">
        <f>+Depreciation!J8+Depreciation!J9+Depreciation!J10</f>
        <v>18642087.566662081</v>
      </c>
      <c r="Q10" s="61">
        <f>P10*$L10</f>
        <v>932104.37833310408</v>
      </c>
      <c r="R10" s="92"/>
      <c r="S10" s="61"/>
      <c r="T10" s="61"/>
      <c r="U10" s="92"/>
    </row>
    <row r="11" spans="1:21" s="54" customFormat="1">
      <c r="A11" s="55" t="s">
        <v>42</v>
      </c>
      <c r="B11" s="61">
        <f>'Income Statement'!B12-'Income Statement'!B19</f>
        <v>1247060.9194121645</v>
      </c>
      <c r="C11"/>
      <c r="D11" s="61">
        <f>'Income Statement'!D12-'Income Statement'!D19</f>
        <v>2072631.1692155818</v>
      </c>
      <c r="E11"/>
      <c r="F11" s="61">
        <f>'Income Statement'!F12-'Income Statement'!F19</f>
        <v>3178764.2488094913</v>
      </c>
      <c r="J11" s="59" t="s">
        <v>106</v>
      </c>
      <c r="K11" s="59">
        <v>2026</v>
      </c>
      <c r="L11" s="60">
        <v>0.05</v>
      </c>
      <c r="M11" s="61"/>
      <c r="N11" s="61"/>
      <c r="O11" s="92"/>
      <c r="P11" s="61"/>
      <c r="Q11" s="61"/>
      <c r="R11" s="92"/>
      <c r="S11" s="61">
        <f>+Depreciation!K8+Depreciation!K9+Depreciation!K10</f>
        <v>20030016.333096001</v>
      </c>
      <c r="T11" s="61">
        <f>S11*$L11</f>
        <v>1001500.8166548001</v>
      </c>
    </row>
    <row r="12" spans="1:21" s="54" customFormat="1">
      <c r="A12" s="55"/>
      <c r="B12" s="61"/>
      <c r="C12"/>
      <c r="D12" s="61"/>
      <c r="E12"/>
      <c r="F12" s="61"/>
      <c r="J12" t="s">
        <v>121</v>
      </c>
      <c r="K12" s="59">
        <v>2024</v>
      </c>
      <c r="L12" s="60">
        <v>0.05</v>
      </c>
      <c r="M12" s="61">
        <f>+Depreciation!I11+Depreciation!I12</f>
        <v>1637100</v>
      </c>
      <c r="N12" s="61">
        <f>M12*$L12</f>
        <v>81855</v>
      </c>
    </row>
    <row r="13" spans="1:21" s="54" customFormat="1">
      <c r="A13" s="56" t="s">
        <v>43</v>
      </c>
      <c r="B13" s="61"/>
      <c r="C13"/>
      <c r="D13" s="61"/>
      <c r="E13"/>
      <c r="F13" s="61"/>
      <c r="J13" t="s">
        <v>121</v>
      </c>
      <c r="K13" s="59">
        <v>2025</v>
      </c>
      <c r="L13" s="60">
        <v>0.05</v>
      </c>
      <c r="P13" s="61">
        <f>+Depreciation!J11+Depreciation!J12</f>
        <v>1637100</v>
      </c>
      <c r="Q13" s="61">
        <f>P13*$L13</f>
        <v>81855</v>
      </c>
    </row>
    <row r="14" spans="1:21" s="54" customFormat="1">
      <c r="A14" s="55" t="s">
        <v>11</v>
      </c>
      <c r="B14" s="61">
        <f>Depreciation!I26</f>
        <v>390396.59189909522</v>
      </c>
      <c r="C14"/>
      <c r="D14" s="61">
        <f>Depreciation!J26</f>
        <v>650683.50362495112</v>
      </c>
      <c r="E14"/>
      <c r="F14" s="61">
        <f>Depreciation!K26</f>
        <v>1008781.7767861952</v>
      </c>
      <c r="J14" t="s">
        <v>121</v>
      </c>
      <c r="K14" s="59">
        <v>2026</v>
      </c>
      <c r="L14" s="60">
        <v>0.05</v>
      </c>
      <c r="S14" s="54">
        <f>+Depreciation!K11+Depreciation!K12</f>
        <v>0</v>
      </c>
      <c r="T14" s="61">
        <f>S14*$L14</f>
        <v>0</v>
      </c>
      <c r="U14" s="91"/>
    </row>
    <row r="15" spans="1:21" s="54" customFormat="1">
      <c r="A15" s="55"/>
      <c r="B15" s="61"/>
      <c r="C15"/>
      <c r="D15" s="61"/>
      <c r="E15"/>
      <c r="F15" s="61"/>
      <c r="J15" t="s">
        <v>122</v>
      </c>
      <c r="K15" s="59">
        <v>2024</v>
      </c>
      <c r="L15" s="60">
        <v>0.04</v>
      </c>
      <c r="M15" s="54">
        <f>+Depreciation!I13+Depreciation!I14+Depreciation!I15</f>
        <v>0</v>
      </c>
      <c r="N15" s="61">
        <f>M15*$L15</f>
        <v>0</v>
      </c>
    </row>
    <row r="16" spans="1:21" s="54" customFormat="1">
      <c r="A16" s="56" t="s">
        <v>44</v>
      </c>
      <c r="B16" s="61"/>
      <c r="C16"/>
      <c r="D16" s="61"/>
      <c r="E16"/>
      <c r="F16" s="61"/>
      <c r="J16" t="s">
        <v>122</v>
      </c>
      <c r="K16" s="59">
        <v>2025</v>
      </c>
      <c r="L16" s="60">
        <v>0.04</v>
      </c>
      <c r="P16" s="61">
        <f>+Depreciation!J13+Depreciation!J14+Depreciation!J15</f>
        <v>2039925</v>
      </c>
      <c r="Q16" s="61">
        <f>P16*$L16</f>
        <v>81597</v>
      </c>
    </row>
    <row r="17" spans="1:21" s="54" customFormat="1">
      <c r="A17" s="55" t="s">
        <v>46</v>
      </c>
      <c r="B17" s="61">
        <f>-N20</f>
        <v>-671324.49850590003</v>
      </c>
      <c r="C17"/>
      <c r="D17" s="61">
        <f>-Q20</f>
        <v>-1095556.3783331041</v>
      </c>
      <c r="E17"/>
      <c r="F17" s="61">
        <f>-T20</f>
        <v>-1570419.5074701335</v>
      </c>
      <c r="J17" t="s">
        <v>123</v>
      </c>
      <c r="K17" s="59">
        <v>2026</v>
      </c>
      <c r="L17" s="60">
        <v>0.04</v>
      </c>
      <c r="S17" s="61">
        <f>+Depreciation!K15</f>
        <v>14222967.270383334</v>
      </c>
      <c r="T17" s="61">
        <f>S17*$L17</f>
        <v>568918.69081533339</v>
      </c>
      <c r="U17" s="92"/>
    </row>
    <row r="18" spans="1:21" s="54" customFormat="1">
      <c r="A18" s="55" t="s">
        <v>47</v>
      </c>
      <c r="B18" s="61">
        <f>-N34</f>
        <v>-335662.24925295002</v>
      </c>
      <c r="C18"/>
      <c r="D18" s="61">
        <f>-Q34</f>
        <v>-547778.18916655204</v>
      </c>
      <c r="E18"/>
      <c r="F18" s="61">
        <f>-T34</f>
        <v>-785209.75373506674</v>
      </c>
      <c r="U18" s="92"/>
    </row>
    <row r="19" spans="1:21" s="54" customFormat="1">
      <c r="A19" s="55" t="s">
        <v>48</v>
      </c>
      <c r="B19" s="61"/>
      <c r="C19"/>
      <c r="D19" s="61"/>
      <c r="E19"/>
      <c r="F19" s="61"/>
      <c r="J19" s="59"/>
      <c r="K19" s="59"/>
      <c r="L19" s="60"/>
      <c r="M19" s="61"/>
      <c r="N19" s="61"/>
      <c r="O19" s="92"/>
      <c r="P19" s="61"/>
      <c r="Q19" s="61"/>
      <c r="R19" s="92"/>
      <c r="S19" s="61"/>
      <c r="T19" s="61"/>
      <c r="U19" s="92"/>
    </row>
    <row r="20" spans="1:21" s="54" customFormat="1" ht="15" thickBot="1">
      <c r="A20" s="52" t="s">
        <v>49</v>
      </c>
      <c r="B20" s="61">
        <f>SUM(B11:B19)</f>
        <v>630470.7635524096</v>
      </c>
      <c r="C20"/>
      <c r="D20" s="61">
        <f>SUM(D11:D19)</f>
        <v>1079980.1053408766</v>
      </c>
      <c r="E20"/>
      <c r="F20" s="61">
        <f>SUM(F11:F19)</f>
        <v>1831916.7643904858</v>
      </c>
      <c r="J20" s="59"/>
      <c r="K20" s="59"/>
      <c r="L20" s="60"/>
      <c r="M20" s="64">
        <f>SUM(M9:M18)</f>
        <v>13426489.970118001</v>
      </c>
      <c r="N20" s="64">
        <f>SUM(N9:N18)</f>
        <v>671324.49850590003</v>
      </c>
      <c r="O20" s="92"/>
      <c r="P20" s="64">
        <f>SUM(P9:P18)</f>
        <v>22319112.566662081</v>
      </c>
      <c r="Q20" s="64">
        <f>SUM(Q9:Q18)</f>
        <v>1095556.3783331041</v>
      </c>
      <c r="R20" s="92"/>
      <c r="S20" s="64">
        <f>SUM(S9:S18)</f>
        <v>34252983.603479333</v>
      </c>
      <c r="T20" s="64">
        <f>SUM(T9:T18)</f>
        <v>1570419.5074701335</v>
      </c>
      <c r="U20" s="92"/>
    </row>
    <row r="21" spans="1:21" s="54" customFormat="1">
      <c r="A21" s="55"/>
      <c r="B21" s="61"/>
      <c r="C21"/>
      <c r="D21" s="61"/>
      <c r="E21"/>
      <c r="F21" s="61"/>
      <c r="J21" s="59"/>
      <c r="K21" s="59"/>
      <c r="L21" s="60"/>
      <c r="M21" s="61"/>
      <c r="N21" s="61"/>
      <c r="O21" s="92"/>
      <c r="P21" s="61"/>
      <c r="Q21" s="61"/>
      <c r="R21" s="92"/>
      <c r="S21" s="61"/>
      <c r="T21" s="61"/>
      <c r="U21" s="92"/>
    </row>
    <row r="22" spans="1:21" s="54" customFormat="1">
      <c r="A22" s="56" t="s">
        <v>51</v>
      </c>
      <c r="B22" s="61"/>
      <c r="C22"/>
      <c r="D22" s="61"/>
      <c r="E22"/>
      <c r="F22" s="61"/>
      <c r="K22" s="59"/>
      <c r="L22" s="60"/>
      <c r="M22" s="61"/>
      <c r="N22" s="61"/>
      <c r="O22" s="92"/>
      <c r="P22" s="61"/>
      <c r="Q22" s="61"/>
      <c r="R22" s="92"/>
      <c r="S22" s="61"/>
      <c r="T22" s="61"/>
    </row>
    <row r="23" spans="1:21" s="54" customFormat="1" ht="15" thickBot="1">
      <c r="A23" s="55" t="s">
        <v>50</v>
      </c>
      <c r="B23" s="94">
        <v>0.01</v>
      </c>
      <c r="C23"/>
      <c r="D23" s="94">
        <v>0.01</v>
      </c>
      <c r="E23"/>
      <c r="F23" s="94">
        <v>0.01</v>
      </c>
      <c r="J23" s="59" t="s">
        <v>55</v>
      </c>
      <c r="K23" s="57" t="s">
        <v>54</v>
      </c>
      <c r="L23" s="57" t="s">
        <v>28</v>
      </c>
      <c r="M23" s="58" t="s">
        <v>56</v>
      </c>
      <c r="N23" s="57">
        <v>2024</v>
      </c>
      <c r="O23" s="91"/>
      <c r="P23" s="58" t="s">
        <v>56</v>
      </c>
      <c r="Q23" s="57">
        <v>2025</v>
      </c>
      <c r="R23" s="91"/>
      <c r="S23" s="58" t="s">
        <v>56</v>
      </c>
      <c r="T23" s="57">
        <v>2026</v>
      </c>
      <c r="U23" s="92"/>
    </row>
    <row r="24" spans="1:21" s="54" customFormat="1" ht="13.8">
      <c r="J24" s="59"/>
    </row>
    <row r="25" spans="1:21" s="54" customFormat="1" ht="13.8">
      <c r="J25" s="59" t="s">
        <v>106</v>
      </c>
      <c r="K25" s="59">
        <v>2024</v>
      </c>
      <c r="L25" s="60">
        <v>0.05</v>
      </c>
      <c r="M25" s="61">
        <f>M9/2</f>
        <v>5894694.9850590006</v>
      </c>
      <c r="N25" s="61">
        <f>M25*$L25</f>
        <v>294734.74925295002</v>
      </c>
      <c r="O25" s="92"/>
      <c r="P25" s="61"/>
      <c r="Q25" s="61"/>
      <c r="R25" s="92"/>
      <c r="S25" s="61"/>
      <c r="T25" s="61"/>
    </row>
    <row r="26" spans="1:21" s="54" customFormat="1">
      <c r="A26" s="55" t="s">
        <v>52</v>
      </c>
      <c r="B26" s="61">
        <f>B20*B23</f>
        <v>6304.7076355240961</v>
      </c>
      <c r="C26"/>
      <c r="D26" s="61">
        <f>D20*D23</f>
        <v>10799.801053408766</v>
      </c>
      <c r="E26"/>
      <c r="F26" s="61">
        <f>F20*F23</f>
        <v>18319.167643904857</v>
      </c>
      <c r="J26" s="59" t="s">
        <v>106</v>
      </c>
      <c r="K26" s="59">
        <v>2025</v>
      </c>
      <c r="L26" s="60">
        <v>0.05</v>
      </c>
      <c r="M26" s="61">
        <f t="shared" ref="M26:M33" si="0">M10/2</f>
        <v>0</v>
      </c>
      <c r="N26" s="61"/>
      <c r="O26" s="92"/>
      <c r="P26" s="61">
        <f>P10/2</f>
        <v>9321043.7833310403</v>
      </c>
      <c r="Q26" s="61">
        <f>P26*$L26</f>
        <v>466052.18916655204</v>
      </c>
      <c r="R26" s="92"/>
      <c r="S26" s="61"/>
      <c r="T26" s="61"/>
    </row>
    <row r="27" spans="1:21" s="54" customFormat="1" ht="13.8">
      <c r="J27" s="59" t="s">
        <v>106</v>
      </c>
      <c r="K27" s="59">
        <v>2026</v>
      </c>
      <c r="L27" s="60">
        <v>0.05</v>
      </c>
      <c r="M27" s="61">
        <f t="shared" si="0"/>
        <v>0</v>
      </c>
      <c r="N27" s="61"/>
      <c r="O27" s="92"/>
      <c r="P27" s="61">
        <f t="shared" ref="P27:P33" si="1">P11/2</f>
        <v>0</v>
      </c>
      <c r="Q27" s="61"/>
      <c r="R27" s="92"/>
      <c r="S27" s="61">
        <f>S11/2</f>
        <v>10015008.166548001</v>
      </c>
      <c r="T27" s="61">
        <f>S27*$L27</f>
        <v>500750.40832740004</v>
      </c>
    </row>
    <row r="28" spans="1:21" s="54" customFormat="1">
      <c r="A28" s="55"/>
      <c r="B28" s="61"/>
      <c r="C28"/>
      <c r="D28" s="61"/>
      <c r="E28"/>
      <c r="F28" s="61"/>
      <c r="J28" t="s">
        <v>121</v>
      </c>
      <c r="K28" s="59">
        <v>2024</v>
      </c>
      <c r="L28" s="60">
        <v>0.05</v>
      </c>
      <c r="M28" s="61">
        <f t="shared" si="0"/>
        <v>818550</v>
      </c>
      <c r="N28" s="61">
        <f>M28*$L28</f>
        <v>40927.5</v>
      </c>
      <c r="P28" s="61">
        <f t="shared" si="1"/>
        <v>0</v>
      </c>
      <c r="S28" s="61">
        <f t="shared" ref="S28:S33" si="2">S12/2</f>
        <v>0</v>
      </c>
      <c r="T28" s="61">
        <f t="shared" ref="T28:T33" si="3">S28*$L28</f>
        <v>0</v>
      </c>
      <c r="U28" s="91"/>
    </row>
    <row r="29" spans="1:21" s="54" customFormat="1">
      <c r="A29" s="63" t="s">
        <v>63</v>
      </c>
      <c r="B29"/>
      <c r="C29"/>
      <c r="D29"/>
      <c r="E29"/>
      <c r="F29"/>
      <c r="J29" t="s">
        <v>121</v>
      </c>
      <c r="K29" s="59">
        <v>2025</v>
      </c>
      <c r="L29" s="60">
        <v>0.05</v>
      </c>
      <c r="M29" s="61">
        <f t="shared" si="0"/>
        <v>0</v>
      </c>
      <c r="P29" s="61">
        <f t="shared" si="1"/>
        <v>818550</v>
      </c>
      <c r="Q29" s="61">
        <f>P29*$L29</f>
        <v>40927.5</v>
      </c>
      <c r="S29" s="61">
        <f t="shared" si="2"/>
        <v>0</v>
      </c>
      <c r="T29" s="61">
        <f t="shared" si="3"/>
        <v>0</v>
      </c>
    </row>
    <row r="30" spans="1:21" s="54" customFormat="1" ht="15" thickBot="1">
      <c r="B30" s="57">
        <v>2024</v>
      </c>
      <c r="C30"/>
      <c r="D30" s="57">
        <v>2025</v>
      </c>
      <c r="E30"/>
      <c r="F30" s="57">
        <v>2026</v>
      </c>
      <c r="J30" t="s">
        <v>121</v>
      </c>
      <c r="K30" s="59">
        <v>2026</v>
      </c>
      <c r="L30" s="60">
        <v>0.05</v>
      </c>
      <c r="M30" s="61">
        <f t="shared" si="0"/>
        <v>0</v>
      </c>
      <c r="P30" s="61">
        <f t="shared" si="1"/>
        <v>0</v>
      </c>
      <c r="S30" s="61">
        <f t="shared" si="2"/>
        <v>0</v>
      </c>
      <c r="T30" s="61">
        <f t="shared" si="3"/>
        <v>0</v>
      </c>
      <c r="U30" s="92"/>
    </row>
    <row r="31" spans="1:21" s="54" customFormat="1">
      <c r="A31" s="54" t="s">
        <v>57</v>
      </c>
      <c r="B31" s="61">
        <f>N20</f>
        <v>671324.49850590003</v>
      </c>
      <c r="C31"/>
      <c r="D31" s="61">
        <f>Q20</f>
        <v>1095556.3783331041</v>
      </c>
      <c r="E31"/>
      <c r="F31" s="61">
        <f>T20</f>
        <v>1570419.5074701335</v>
      </c>
      <c r="J31" t="s">
        <v>122</v>
      </c>
      <c r="K31" s="59">
        <v>2024</v>
      </c>
      <c r="L31" s="60">
        <v>0.04</v>
      </c>
      <c r="M31" s="61">
        <f t="shared" si="0"/>
        <v>0</v>
      </c>
      <c r="P31" s="61">
        <f t="shared" si="1"/>
        <v>0</v>
      </c>
      <c r="S31" s="61">
        <f t="shared" si="2"/>
        <v>0</v>
      </c>
      <c r="T31" s="61">
        <f t="shared" si="3"/>
        <v>0</v>
      </c>
      <c r="U31" s="92"/>
    </row>
    <row r="32" spans="1:21" s="54" customFormat="1">
      <c r="C32"/>
      <c r="E32"/>
      <c r="J32" t="s">
        <v>122</v>
      </c>
      <c r="K32" s="59">
        <v>2025</v>
      </c>
      <c r="L32" s="60">
        <v>0.04</v>
      </c>
      <c r="M32" s="61">
        <f t="shared" si="0"/>
        <v>0</v>
      </c>
      <c r="P32" s="61">
        <f t="shared" si="1"/>
        <v>1019962.5</v>
      </c>
      <c r="Q32" s="61">
        <f>P32*$L32</f>
        <v>40798.5</v>
      </c>
      <c r="S32" s="61">
        <f t="shared" si="2"/>
        <v>0</v>
      </c>
      <c r="T32" s="61">
        <f t="shared" si="3"/>
        <v>0</v>
      </c>
      <c r="U32" s="92"/>
    </row>
    <row r="33" spans="1:21" s="54" customFormat="1">
      <c r="A33" s="54" t="s">
        <v>58</v>
      </c>
      <c r="B33" s="61">
        <f>-Depreciation!I26</f>
        <v>-390396.59189909522</v>
      </c>
      <c r="C33"/>
      <c r="D33" s="61">
        <f>-Depreciation!J26</f>
        <v>-650683.50362495112</v>
      </c>
      <c r="E33"/>
      <c r="F33" s="61">
        <f>-Depreciation!K26</f>
        <v>-1008781.7767861952</v>
      </c>
      <c r="J33" t="s">
        <v>123</v>
      </c>
      <c r="K33" s="59">
        <v>2026</v>
      </c>
      <c r="L33" s="60">
        <v>0.04</v>
      </c>
      <c r="M33" s="61">
        <f t="shared" si="0"/>
        <v>0</v>
      </c>
      <c r="N33" s="61"/>
      <c r="O33" s="92"/>
      <c r="P33" s="61">
        <f t="shared" si="1"/>
        <v>0</v>
      </c>
      <c r="Q33" s="61"/>
      <c r="R33" s="92"/>
      <c r="S33" s="61">
        <f t="shared" si="2"/>
        <v>7111483.6351916669</v>
      </c>
      <c r="T33" s="61">
        <f t="shared" si="3"/>
        <v>284459.3454076667</v>
      </c>
      <c r="U33" s="92"/>
    </row>
    <row r="34" spans="1:21" s="54" customFormat="1" ht="15" thickBot="1">
      <c r="B34" s="107">
        <f>SUM(B31:B33)</f>
        <v>280927.90660680481</v>
      </c>
      <c r="C34"/>
      <c r="D34" s="107">
        <f>SUM(D31:D33)</f>
        <v>444872.87470815296</v>
      </c>
      <c r="E34"/>
      <c r="F34" s="107">
        <f>SUM(F31:F33)</f>
        <v>561637.73068393825</v>
      </c>
      <c r="J34" s="59"/>
      <c r="K34" s="59"/>
      <c r="L34" s="60"/>
      <c r="M34" s="64">
        <f>SUM(M25:M33)</f>
        <v>6713244.9850590006</v>
      </c>
      <c r="N34" s="64">
        <f>SUM(N25:N33)</f>
        <v>335662.24925295002</v>
      </c>
      <c r="O34" s="92"/>
      <c r="P34" s="64">
        <f>SUM(P25:P33)</f>
        <v>11159556.28333104</v>
      </c>
      <c r="Q34" s="64">
        <f>SUM(Q25:Q33)</f>
        <v>547778.18916655204</v>
      </c>
      <c r="R34" s="92"/>
      <c r="S34" s="64">
        <f>SUM(S25:S33)</f>
        <v>17126491.801739667</v>
      </c>
      <c r="T34" s="64">
        <f>SUM(T25:T33)</f>
        <v>785209.75373506674</v>
      </c>
      <c r="U34" s="92"/>
    </row>
    <row r="35" spans="1:21" s="54" customFormat="1">
      <c r="C35"/>
      <c r="E35"/>
    </row>
    <row r="36" spans="1:21" s="54" customFormat="1">
      <c r="A36" s="54" t="s">
        <v>124</v>
      </c>
      <c r="B36" s="62">
        <v>2.3358770255401826E-2</v>
      </c>
      <c r="C36"/>
      <c r="D36" s="62">
        <v>2.3358770255401826E-2</v>
      </c>
      <c r="E36"/>
      <c r="F36" s="62">
        <v>2.3358770255401826E-2</v>
      </c>
      <c r="U36" s="92"/>
    </row>
    <row r="37" spans="1:21" s="54" customFormat="1">
      <c r="C37"/>
      <c r="E37"/>
      <c r="N37" s="95">
        <v>2.3358770255401826E-2</v>
      </c>
      <c r="Q37" s="95">
        <v>2.3358770255401826E-2</v>
      </c>
      <c r="T37" s="95">
        <v>2.3358770255401826E-2</v>
      </c>
    </row>
    <row r="38" spans="1:21" s="54" customFormat="1" ht="15" thickBot="1">
      <c r="A38" s="54" t="s">
        <v>59</v>
      </c>
      <c r="B38" s="54">
        <f>B34*B36</f>
        <v>6562.1304287593339</v>
      </c>
      <c r="C38"/>
      <c r="D38" s="54">
        <f t="shared" ref="D38:F38" si="4">D34*D36</f>
        <v>10391.683273167906</v>
      </c>
      <c r="E38"/>
      <c r="F38" s="54">
        <f t="shared" si="4"/>
        <v>13119.166717811358</v>
      </c>
      <c r="J38" s="59" t="s">
        <v>75</v>
      </c>
      <c r="K38" s="57" t="s">
        <v>54</v>
      </c>
      <c r="L38" s="57" t="s">
        <v>28</v>
      </c>
      <c r="M38" s="58" t="s">
        <v>56</v>
      </c>
      <c r="N38" s="57">
        <v>2024</v>
      </c>
      <c r="O38" s="91"/>
      <c r="P38" s="58" t="s">
        <v>56</v>
      </c>
      <c r="Q38" s="57">
        <v>2025</v>
      </c>
      <c r="R38" s="91"/>
      <c r="S38" s="57"/>
      <c r="T38" s="57">
        <v>2026</v>
      </c>
    </row>
    <row r="39" spans="1:21" s="54" customFormat="1">
      <c r="A39" s="54" t="s">
        <v>60</v>
      </c>
      <c r="B39" s="54">
        <f>+B38</f>
        <v>6562.1304287593339</v>
      </c>
      <c r="C39"/>
      <c r="D39" s="54">
        <f>+D38</f>
        <v>10391.683273167906</v>
      </c>
      <c r="E39"/>
      <c r="F39" s="54">
        <f>+F38</f>
        <v>13119.166717811358</v>
      </c>
      <c r="J39" s="59"/>
    </row>
    <row r="40" spans="1:21" s="54" customFormat="1">
      <c r="J40" s="59" t="s">
        <v>106</v>
      </c>
      <c r="K40" s="59">
        <v>2024</v>
      </c>
      <c r="L40" s="60">
        <v>2.9046640777427968E-2</v>
      </c>
      <c r="M40" s="61"/>
      <c r="N40" s="61">
        <f>N25*$N$37</f>
        <v>6884.6412940831242</v>
      </c>
      <c r="O40" s="92"/>
      <c r="P40" s="61"/>
      <c r="Q40" s="61"/>
      <c r="R40" s="92"/>
      <c r="S40" s="61"/>
      <c r="T40" s="61"/>
      <c r="U40" s="93"/>
    </row>
    <row r="41" spans="1:21" s="54" customFormat="1" ht="13.8">
      <c r="J41" s="59" t="s">
        <v>106</v>
      </c>
      <c r="K41" s="59">
        <v>2025</v>
      </c>
      <c r="L41" s="60">
        <v>2.9046640777427968E-2</v>
      </c>
      <c r="M41" s="61"/>
      <c r="N41" s="61">
        <f t="shared" ref="N41:N48" si="5">N26*$N$37</f>
        <v>0</v>
      </c>
      <c r="O41" s="92"/>
      <c r="P41" s="61"/>
      <c r="Q41" s="61">
        <f>Q26*$Q$37</f>
        <v>10886.406013768561</v>
      </c>
      <c r="R41" s="92"/>
      <c r="S41" s="61"/>
      <c r="T41" s="61"/>
    </row>
    <row r="42" spans="1:21" s="54" customFormat="1" ht="13.8">
      <c r="J42" s="59" t="s">
        <v>106</v>
      </c>
      <c r="K42" s="59">
        <v>2026</v>
      </c>
      <c r="L42" s="60">
        <v>2.9046640777427968E-2</v>
      </c>
      <c r="M42" s="61"/>
      <c r="N42" s="61">
        <f t="shared" si="5"/>
        <v>0</v>
      </c>
      <c r="O42" s="92"/>
      <c r="P42" s="61"/>
      <c r="Q42" s="61">
        <f t="shared" ref="Q42:Q48" si="6">Q27*$Q$37</f>
        <v>0</v>
      </c>
      <c r="R42" s="92"/>
      <c r="S42" s="61"/>
      <c r="T42" s="61">
        <f>T27*$T$37</f>
        <v>11696.91374341839</v>
      </c>
    </row>
    <row r="43" spans="1:21" s="54" customFormat="1">
      <c r="J43" t="s">
        <v>121</v>
      </c>
      <c r="K43" s="59">
        <v>2024</v>
      </c>
      <c r="L43" s="60">
        <v>2.9292295187872075E-2</v>
      </c>
      <c r="N43" s="61">
        <f t="shared" si="5"/>
        <v>956.01606962795825</v>
      </c>
      <c r="Q43" s="61">
        <f t="shared" si="6"/>
        <v>0</v>
      </c>
      <c r="T43" s="61">
        <f t="shared" ref="T43:T48" si="7">T28*$T$37</f>
        <v>0</v>
      </c>
    </row>
    <row r="44" spans="1:21" s="54" customFormat="1">
      <c r="A44"/>
      <c r="B44"/>
      <c r="C44"/>
      <c r="D44"/>
      <c r="E44"/>
      <c r="F44"/>
      <c r="H44" s="110"/>
      <c r="J44" t="s">
        <v>121</v>
      </c>
      <c r="K44" s="59">
        <v>2025</v>
      </c>
      <c r="L44" s="60">
        <v>2.9292295187872075E-2</v>
      </c>
      <c r="N44" s="61">
        <f t="shared" si="5"/>
        <v>0</v>
      </c>
      <c r="Q44" s="61">
        <f t="shared" si="6"/>
        <v>956.01606962795825</v>
      </c>
      <c r="T44" s="61">
        <f t="shared" si="7"/>
        <v>0</v>
      </c>
    </row>
    <row r="45" spans="1:21" s="54" customFormat="1">
      <c r="A45"/>
      <c r="B45"/>
      <c r="C45"/>
      <c r="D45"/>
      <c r="E45"/>
      <c r="F45"/>
      <c r="H45" s="110"/>
      <c r="J45" t="s">
        <v>121</v>
      </c>
      <c r="K45" s="59">
        <v>2026</v>
      </c>
      <c r="L45" s="60">
        <v>2.9292295187872075E-2</v>
      </c>
      <c r="N45" s="61">
        <f t="shared" si="5"/>
        <v>0</v>
      </c>
      <c r="Q45" s="61">
        <f t="shared" si="6"/>
        <v>0</v>
      </c>
      <c r="T45" s="61">
        <f t="shared" si="7"/>
        <v>0</v>
      </c>
    </row>
    <row r="46" spans="1:21" s="54" customFormat="1">
      <c r="A46" s="55"/>
      <c r="B46" s="61"/>
      <c r="C46"/>
      <c r="D46" s="61"/>
      <c r="E46"/>
      <c r="F46" s="61"/>
      <c r="H46" s="110"/>
      <c r="J46" t="s">
        <v>122</v>
      </c>
      <c r="K46" s="59">
        <v>2024</v>
      </c>
      <c r="L46" s="60">
        <v>3.0020253824378861E-2</v>
      </c>
      <c r="N46" s="61">
        <f t="shared" si="5"/>
        <v>0</v>
      </c>
      <c r="Q46" s="61">
        <f t="shared" si="6"/>
        <v>0</v>
      </c>
      <c r="T46" s="61">
        <f t="shared" si="7"/>
        <v>0</v>
      </c>
    </row>
    <row r="47" spans="1:21" s="54" customFormat="1">
      <c r="A47" s="55"/>
      <c r="B47" s="61"/>
      <c r="C47"/>
      <c r="D47" s="61"/>
      <c r="E47"/>
      <c r="F47" s="61"/>
      <c r="J47" t="s">
        <v>122</v>
      </c>
      <c r="K47" s="59">
        <v>2025</v>
      </c>
      <c r="L47" s="60">
        <v>3.0020253824378861E-2</v>
      </c>
      <c r="N47" s="61">
        <f t="shared" si="5"/>
        <v>0</v>
      </c>
      <c r="Q47" s="61">
        <f t="shared" si="6"/>
        <v>953.00278826501142</v>
      </c>
      <c r="T47" s="61">
        <f t="shared" si="7"/>
        <v>0</v>
      </c>
      <c r="U47"/>
    </row>
    <row r="48" spans="1:21" s="54" customFormat="1">
      <c r="A48" s="55"/>
      <c r="B48" s="61"/>
      <c r="C48"/>
      <c r="D48" s="61"/>
      <c r="E48"/>
      <c r="F48" s="61"/>
      <c r="J48" t="s">
        <v>123</v>
      </c>
      <c r="K48" s="59">
        <v>2026</v>
      </c>
      <c r="L48" s="60">
        <v>3.0020253824378861E-2</v>
      </c>
      <c r="N48" s="61">
        <f t="shared" si="5"/>
        <v>0</v>
      </c>
      <c r="Q48" s="61">
        <f t="shared" si="6"/>
        <v>0</v>
      </c>
      <c r="T48" s="61">
        <f t="shared" si="7"/>
        <v>6644.620496379679</v>
      </c>
      <c r="U48"/>
    </row>
    <row r="49" spans="1:21" s="54" customFormat="1">
      <c r="A49" s="55"/>
      <c r="B49" s="61"/>
      <c r="C49"/>
      <c r="D49" s="61"/>
      <c r="E49"/>
      <c r="F49" s="61"/>
      <c r="U49"/>
    </row>
    <row r="50" spans="1:21" s="54" customFormat="1" ht="15" thickBot="1">
      <c r="M50" s="64">
        <f>SUM(M40:M48)</f>
        <v>0</v>
      </c>
      <c r="N50" s="64">
        <f>SUM(N40:N48)</f>
        <v>7840.6573637110823</v>
      </c>
      <c r="P50" s="64">
        <f>SUM(P40:P48)</f>
        <v>0</v>
      </c>
      <c r="Q50" s="64">
        <f>SUM(Q40:Q48)</f>
        <v>12795.424871661531</v>
      </c>
      <c r="S50" s="64">
        <f>SUM(S40:S48)</f>
        <v>0</v>
      </c>
      <c r="T50" s="64">
        <f>SUM(T40:T48)</f>
        <v>18341.534239798071</v>
      </c>
      <c r="U50"/>
    </row>
    <row r="51" spans="1:21" s="54" customFormat="1">
      <c r="A51" s="55"/>
      <c r="C51"/>
      <c r="E51"/>
      <c r="U51"/>
    </row>
    <row r="52" spans="1:21"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1">
      <c r="J53" s="59" t="s">
        <v>106</v>
      </c>
      <c r="K53" s="59">
        <v>2024</v>
      </c>
      <c r="L53" s="60">
        <v>2.9046640777427968E-2</v>
      </c>
      <c r="M53" s="61"/>
      <c r="N53" s="61">
        <f>-N40*$L53</f>
        <v>-199.97570255067933</v>
      </c>
      <c r="O53" s="92"/>
      <c r="P53" s="61"/>
      <c r="Q53" s="61"/>
      <c r="R53" s="92"/>
      <c r="S53" s="61"/>
      <c r="T53" s="61"/>
    </row>
    <row r="54" spans="1:21">
      <c r="J54" s="59" t="s">
        <v>106</v>
      </c>
      <c r="K54" s="59">
        <v>2025</v>
      </c>
      <c r="L54" s="60">
        <v>2.9046640777427968E-2</v>
      </c>
      <c r="M54" s="61"/>
      <c r="N54" s="61">
        <f t="shared" ref="N54:N61" si="8">-N41*$L54</f>
        <v>0</v>
      </c>
      <c r="O54" s="92"/>
      <c r="P54" s="61"/>
      <c r="Q54" s="61">
        <f>-Q41*$L54</f>
        <v>-316.21352483916695</v>
      </c>
      <c r="R54" s="92"/>
      <c r="S54" s="61"/>
      <c r="T54" s="61"/>
    </row>
    <row r="55" spans="1:21">
      <c r="J55" s="59" t="s">
        <v>106</v>
      </c>
      <c r="K55" s="59">
        <v>2026</v>
      </c>
      <c r="L55" s="60">
        <v>2.9046640777427968E-2</v>
      </c>
      <c r="M55" s="61"/>
      <c r="N55" s="61">
        <f t="shared" si="8"/>
        <v>0</v>
      </c>
      <c r="O55" s="92"/>
      <c r="P55" s="61"/>
      <c r="Q55" s="61">
        <f t="shared" ref="Q55:Q61" si="9">-Q42*$L55</f>
        <v>0</v>
      </c>
      <c r="R55" s="92"/>
      <c r="S55" s="61"/>
      <c r="T55" s="61">
        <f>-T42*$L55</f>
        <v>-339.75605170963422</v>
      </c>
    </row>
    <row r="56" spans="1:21">
      <c r="J56" t="s">
        <v>121</v>
      </c>
      <c r="K56" s="59">
        <v>2024</v>
      </c>
      <c r="L56" s="60">
        <v>2.9292295187872075E-2</v>
      </c>
      <c r="N56" s="61">
        <f t="shared" si="8"/>
        <v>-28.003904915891415</v>
      </c>
      <c r="Q56" s="61">
        <f t="shared" si="9"/>
        <v>0</v>
      </c>
      <c r="T56" s="61">
        <f t="shared" ref="T56:T61" si="10">-T43*$L56</f>
        <v>0</v>
      </c>
    </row>
    <row r="57" spans="1:21">
      <c r="J57" t="s">
        <v>121</v>
      </c>
      <c r="K57" s="59">
        <v>2025</v>
      </c>
      <c r="L57" s="60">
        <v>2.9292295187872075E-2</v>
      </c>
      <c r="N57" s="61">
        <f t="shared" si="8"/>
        <v>0</v>
      </c>
      <c r="Q57" s="61">
        <f t="shared" si="9"/>
        <v>-28.003904915891415</v>
      </c>
      <c r="T57" s="61">
        <f t="shared" si="10"/>
        <v>0</v>
      </c>
    </row>
    <row r="58" spans="1:21">
      <c r="J58" t="s">
        <v>121</v>
      </c>
      <c r="K58" s="59">
        <v>2026</v>
      </c>
      <c r="L58" s="60">
        <v>2.9292295187872075E-2</v>
      </c>
      <c r="N58" s="61">
        <f t="shared" si="8"/>
        <v>0</v>
      </c>
      <c r="Q58" s="61">
        <f t="shared" si="9"/>
        <v>0</v>
      </c>
      <c r="T58" s="61">
        <f t="shared" si="10"/>
        <v>0</v>
      </c>
    </row>
    <row r="59" spans="1:21">
      <c r="J59" t="s">
        <v>122</v>
      </c>
      <c r="K59" s="59">
        <v>2024</v>
      </c>
      <c r="L59" s="60">
        <v>3.0020253824378861E-2</v>
      </c>
      <c r="N59" s="61">
        <f t="shared" si="8"/>
        <v>0</v>
      </c>
      <c r="Q59" s="61">
        <f t="shared" si="9"/>
        <v>0</v>
      </c>
      <c r="T59" s="61">
        <f t="shared" si="10"/>
        <v>0</v>
      </c>
    </row>
    <row r="60" spans="1:21">
      <c r="J60" t="s">
        <v>122</v>
      </c>
      <c r="K60" s="59">
        <v>2025</v>
      </c>
      <c r="L60" s="60">
        <v>3.0020253824378861E-2</v>
      </c>
      <c r="N60" s="61">
        <f t="shared" si="8"/>
        <v>0</v>
      </c>
      <c r="Q60" s="61">
        <f t="shared" si="9"/>
        <v>-28.609385599056427</v>
      </c>
      <c r="T60" s="61">
        <f t="shared" si="10"/>
        <v>0</v>
      </c>
    </row>
    <row r="61" spans="1:21">
      <c r="J61" t="s">
        <v>123</v>
      </c>
      <c r="K61" s="59">
        <v>2026</v>
      </c>
      <c r="L61" s="60">
        <v>3.0020253824378861E-2</v>
      </c>
      <c r="N61" s="61">
        <f t="shared" si="8"/>
        <v>0</v>
      </c>
      <c r="Q61" s="61">
        <f t="shared" si="9"/>
        <v>0</v>
      </c>
      <c r="T61" s="61">
        <f t="shared" si="10"/>
        <v>-199.47319386798821</v>
      </c>
    </row>
    <row r="62" spans="1:21" ht="15" thickBot="1">
      <c r="J62" s="54"/>
      <c r="K62" s="54"/>
      <c r="L62" s="54"/>
      <c r="M62" s="64">
        <f>SUM(M53:M61)</f>
        <v>0</v>
      </c>
      <c r="N62" s="64">
        <f>SUM(N53:N61)</f>
        <v>-227.97960746657074</v>
      </c>
      <c r="O62" s="92"/>
      <c r="P62" s="64">
        <f>SUM(P53:P61)</f>
        <v>0</v>
      </c>
      <c r="Q62" s="64">
        <f>SUM(Q53:Q61)</f>
        <v>-372.82681535411484</v>
      </c>
      <c r="R62" s="92"/>
      <c r="S62" s="64">
        <f>SUM(S53:S61)</f>
        <v>0</v>
      </c>
      <c r="T62" s="64">
        <f>SUM(T53:T61)</f>
        <v>-539.22924557762246</v>
      </c>
    </row>
    <row r="63" spans="1:21">
      <c r="J63" s="59"/>
      <c r="K63" s="59"/>
      <c r="L63" s="60"/>
      <c r="M63" s="61"/>
      <c r="N63" s="61"/>
      <c r="O63" s="92"/>
      <c r="P63" s="61"/>
      <c r="Q63" s="61"/>
      <c r="R63" s="92"/>
      <c r="S63" s="61"/>
      <c r="T63" s="61"/>
    </row>
    <row r="64" spans="1:21">
      <c r="J64" s="59"/>
      <c r="K64" s="59"/>
      <c r="L64" s="60"/>
      <c r="M64" s="61"/>
      <c r="N64" s="61"/>
      <c r="O64" s="92"/>
      <c r="P64" s="61"/>
      <c r="Q64" s="61"/>
      <c r="R64" s="92"/>
      <c r="S64" s="61"/>
      <c r="T64" s="61"/>
    </row>
    <row r="65" spans="10:20">
      <c r="J65" s="54" t="s">
        <v>61</v>
      </c>
      <c r="K65" s="54"/>
      <c r="L65" s="54"/>
      <c r="M65" s="54"/>
      <c r="N65" s="54">
        <f>N50+N62</f>
        <v>7612.6777562445113</v>
      </c>
      <c r="O65" s="54"/>
      <c r="P65" s="54"/>
      <c r="Q65" s="54">
        <f>Q50+Q62</f>
        <v>12422.598056307415</v>
      </c>
      <c r="R65" s="54"/>
      <c r="S65" s="54"/>
      <c r="T65" s="54">
        <f>T50+T62</f>
        <v>17802.304994220449</v>
      </c>
    </row>
    <row r="66" spans="10:20">
      <c r="J66" s="54" t="s">
        <v>62</v>
      </c>
      <c r="K66" s="54"/>
      <c r="L66" s="54"/>
      <c r="M66" s="54"/>
      <c r="N66" s="54">
        <f>+N65</f>
        <v>7612.6777562445113</v>
      </c>
      <c r="O66" s="54"/>
      <c r="P66" s="54"/>
      <c r="Q66" s="54">
        <f>+Q65</f>
        <v>12422.598056307415</v>
      </c>
      <c r="R66" s="54"/>
      <c r="S66" s="54"/>
      <c r="T66" s="54">
        <f>+T65</f>
        <v>17802.304994220449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3D844-27D8-47CA-B881-5B6D8CD31F35}">
  <dimension ref="A1:H40"/>
  <sheetViews>
    <sheetView zoomScale="85" zoomScaleNormal="85" workbookViewId="0">
      <selection activeCell="O25" sqref="O25"/>
    </sheetView>
  </sheetViews>
  <sheetFormatPr defaultRowHeight="14.4"/>
  <cols>
    <col min="1" max="1" width="38" customWidth="1"/>
    <col min="2" max="2" width="11.5546875" bestFit="1" customWidth="1"/>
    <col min="3" max="3" width="2.88671875" customWidth="1"/>
    <col min="4" max="4" width="11.5546875" bestFit="1" customWidth="1"/>
    <col min="5" max="5" width="2.21875" customWidth="1"/>
    <col min="6" max="6" width="11.5546875" bestFit="1" customWidth="1"/>
    <col min="8" max="8" width="10.77734375" bestFit="1" customWidth="1"/>
  </cols>
  <sheetData>
    <row r="1" spans="1:7">
      <c r="A1" s="112" t="s">
        <v>14</v>
      </c>
      <c r="B1" s="112"/>
      <c r="C1" s="112"/>
      <c r="D1" s="112"/>
      <c r="E1" s="112"/>
      <c r="F1" s="112"/>
      <c r="G1" s="112"/>
    </row>
    <row r="2" spans="1:7">
      <c r="A2" s="112" t="str">
        <f>'Revenue Requirement'!A2</f>
        <v>Clean Energy Transistion Plan Project 1</v>
      </c>
      <c r="B2" s="112"/>
      <c r="C2" s="112"/>
      <c r="D2" s="112"/>
      <c r="E2" s="112"/>
      <c r="F2" s="112"/>
      <c r="G2" s="112"/>
    </row>
    <row r="3" spans="1:7">
      <c r="A3" s="112" t="str">
        <f>'Revenue Requirement'!A3</f>
        <v>IPP Interconnection</v>
      </c>
      <c r="B3" s="112"/>
      <c r="C3" s="112"/>
      <c r="D3" s="112"/>
      <c r="E3" s="112"/>
      <c r="F3" s="112"/>
      <c r="G3" s="112"/>
    </row>
    <row r="4" spans="1:7">
      <c r="A4" s="114" t="s">
        <v>76</v>
      </c>
      <c r="B4" s="114"/>
      <c r="C4" s="114"/>
      <c r="D4" s="114"/>
      <c r="E4" s="114"/>
      <c r="F4" s="114"/>
      <c r="G4" s="114"/>
    </row>
    <row r="7" spans="1:7">
      <c r="A7" s="65"/>
      <c r="B7" s="66" t="s">
        <v>64</v>
      </c>
      <c r="C7" s="66"/>
      <c r="D7" s="66" t="s">
        <v>64</v>
      </c>
      <c r="E7" s="66"/>
      <c r="F7" s="66" t="s">
        <v>64</v>
      </c>
    </row>
    <row r="8" spans="1:7">
      <c r="A8" s="67"/>
      <c r="B8" s="53" t="s">
        <v>39</v>
      </c>
      <c r="C8" s="53"/>
      <c r="D8" s="53" t="s">
        <v>40</v>
      </c>
      <c r="E8" s="53"/>
      <c r="F8" s="53" t="s">
        <v>41</v>
      </c>
    </row>
    <row r="9" spans="1:7">
      <c r="A9" s="5" t="s">
        <v>65</v>
      </c>
    </row>
    <row r="10" spans="1:7">
      <c r="A10" s="3" t="s">
        <v>66</v>
      </c>
      <c r="B10" s="12">
        <f>'Revenue Requirement'!D39</f>
        <v>1637457.5113112598</v>
      </c>
      <c r="C10" s="12"/>
      <c r="D10" s="12">
        <f>'Revenue Requirement'!F39</f>
        <v>2723314.6728405328</v>
      </c>
      <c r="E10" s="12"/>
      <c r="F10" s="12">
        <f>'Revenue Requirement'!H39</f>
        <v>4187546.0255956864</v>
      </c>
    </row>
    <row r="11" spans="1:7">
      <c r="A11" s="3"/>
      <c r="B11" s="68"/>
      <c r="C11" s="68"/>
      <c r="D11" s="68"/>
      <c r="E11" s="68"/>
      <c r="F11" s="68"/>
    </row>
    <row r="12" spans="1:7">
      <c r="A12" s="3"/>
      <c r="B12" s="69">
        <f t="shared" ref="B12:D12" si="0">SUM(B10:B11)</f>
        <v>1637457.5113112598</v>
      </c>
      <c r="C12" s="69"/>
      <c r="D12" s="69">
        <f t="shared" si="0"/>
        <v>2723314.6728405328</v>
      </c>
      <c r="E12" s="69"/>
      <c r="F12" s="69">
        <f>SUM(F10:F11)</f>
        <v>4187546.0255956864</v>
      </c>
    </row>
    <row r="13" spans="1:7">
      <c r="A13" s="3"/>
    </row>
    <row r="14" spans="1:7">
      <c r="A14" s="3"/>
    </row>
    <row r="15" spans="1:7">
      <c r="A15" s="5" t="s">
        <v>67</v>
      </c>
    </row>
    <row r="16" spans="1:7">
      <c r="A16" s="3" t="s">
        <v>11</v>
      </c>
      <c r="B16" s="12">
        <f>Depreciation!I26</f>
        <v>390396.59189909522</v>
      </c>
      <c r="C16" s="12"/>
      <c r="D16" s="12">
        <f>Depreciation!J26</f>
        <v>650683.50362495112</v>
      </c>
      <c r="E16" s="12"/>
      <c r="F16" s="12">
        <f>Depreciation!K26</f>
        <v>1008781.7767861952</v>
      </c>
    </row>
    <row r="17" spans="1:8">
      <c r="A17" s="3" t="s">
        <v>111</v>
      </c>
      <c r="B17" s="12">
        <v>0</v>
      </c>
      <c r="C17" s="12"/>
      <c r="D17" s="12">
        <v>0</v>
      </c>
      <c r="E17" s="12"/>
      <c r="F17" s="12">
        <v>0</v>
      </c>
    </row>
    <row r="18" spans="1:8">
      <c r="A18" s="3" t="s">
        <v>17</v>
      </c>
      <c r="B18" s="12">
        <v>0</v>
      </c>
      <c r="C18" s="12"/>
      <c r="D18" s="12">
        <v>0</v>
      </c>
      <c r="E18" s="12"/>
      <c r="F18" s="12">
        <v>0</v>
      </c>
    </row>
    <row r="19" spans="1:8">
      <c r="A19" s="3"/>
      <c r="B19" s="69">
        <f>SUM(B16:B18)</f>
        <v>390396.59189909522</v>
      </c>
      <c r="C19" s="69"/>
      <c r="D19" s="69">
        <f>SUM(D16:D18)</f>
        <v>650683.50362495112</v>
      </c>
      <c r="E19" s="69"/>
      <c r="F19" s="69">
        <f>SUM(F16:F18)</f>
        <v>1008781.7767861952</v>
      </c>
      <c r="H19" s="12"/>
    </row>
    <row r="20" spans="1:8">
      <c r="A20" s="3"/>
    </row>
    <row r="21" spans="1:8">
      <c r="A21" s="3"/>
      <c r="B21" s="70"/>
      <c r="C21" s="70"/>
      <c r="D21" s="70"/>
      <c r="E21" s="70"/>
      <c r="F21" s="70"/>
    </row>
    <row r="22" spans="1:8">
      <c r="A22" s="5" t="s">
        <v>16</v>
      </c>
      <c r="B22" s="12"/>
      <c r="C22" s="12"/>
      <c r="D22" s="12"/>
      <c r="E22" s="12"/>
      <c r="F22" s="12"/>
    </row>
    <row r="23" spans="1:8">
      <c r="A23" s="3" t="s">
        <v>68</v>
      </c>
      <c r="B23" s="12">
        <f>Taxes!B26</f>
        <v>6304.7076355240961</v>
      </c>
      <c r="C23" s="12"/>
      <c r="D23" s="12">
        <f>Taxes!D26</f>
        <v>10799.801053408766</v>
      </c>
      <c r="E23" s="12"/>
      <c r="F23" s="12">
        <f>Taxes!F26</f>
        <v>18319.167643904857</v>
      </c>
    </row>
    <row r="24" spans="1:8">
      <c r="A24" s="3" t="s">
        <v>69</v>
      </c>
      <c r="B24" s="12">
        <f>Taxes!B38</f>
        <v>6562.1304287593339</v>
      </c>
      <c r="C24" s="12"/>
      <c r="D24" s="12">
        <f>Taxes!D38</f>
        <v>10391.683273167906</v>
      </c>
      <c r="E24" s="12"/>
      <c r="F24" s="12">
        <f>Taxes!F38</f>
        <v>13119.166717811358</v>
      </c>
    </row>
    <row r="25" spans="1:8">
      <c r="A25" s="3" t="s">
        <v>70</v>
      </c>
      <c r="B25" s="12">
        <v>0</v>
      </c>
      <c r="C25" s="12"/>
      <c r="D25" s="12">
        <v>0</v>
      </c>
      <c r="E25" s="12"/>
      <c r="F25" s="12">
        <v>0</v>
      </c>
    </row>
    <row r="26" spans="1:8">
      <c r="A26" s="3" t="s">
        <v>45</v>
      </c>
      <c r="B26" s="12">
        <f>Taxes!N65</f>
        <v>7612.6777562445113</v>
      </c>
      <c r="C26" s="12"/>
      <c r="D26" s="12">
        <f>Taxes!Q65</f>
        <v>12422.598056307415</v>
      </c>
      <c r="E26" s="12"/>
      <c r="F26" s="12">
        <f>Taxes!T65</f>
        <v>17802.304994220449</v>
      </c>
    </row>
    <row r="27" spans="1:8">
      <c r="A27" s="3"/>
      <c r="B27" s="71">
        <f>SUM(B23:B26)</f>
        <v>20479.515820527944</v>
      </c>
      <c r="C27" s="71"/>
      <c r="D27" s="71">
        <f t="shared" ref="D27" si="1">SUM(D23:D26)</f>
        <v>33614.082382884088</v>
      </c>
      <c r="E27" s="71"/>
      <c r="F27" s="71">
        <f>SUM(F23:F26)</f>
        <v>49240.63935593667</v>
      </c>
    </row>
    <row r="28" spans="1:8">
      <c r="A28" s="3"/>
    </row>
    <row r="29" spans="1:8" ht="15" thickBot="1">
      <c r="A29" s="5" t="s">
        <v>71</v>
      </c>
      <c r="B29" s="72">
        <f>B27+B19</f>
        <v>410876.10771962313</v>
      </c>
      <c r="C29" s="72"/>
      <c r="D29" s="72">
        <f t="shared" ref="D29:F29" si="2">D27+D19</f>
        <v>684297.58600783523</v>
      </c>
      <c r="E29" s="72"/>
      <c r="F29" s="72">
        <f t="shared" si="2"/>
        <v>1058022.4161421319</v>
      </c>
    </row>
    <row r="30" spans="1:8">
      <c r="A30" s="3"/>
    </row>
    <row r="32" spans="1:8">
      <c r="A32" s="3" t="s">
        <v>72</v>
      </c>
      <c r="B32" s="73">
        <f>B12-B19-B27</f>
        <v>1226581.4035916366</v>
      </c>
      <c r="C32" s="73"/>
      <c r="D32" s="73">
        <f>D12-D19-D27</f>
        <v>2039017.0868326977</v>
      </c>
      <c r="E32" s="73"/>
      <c r="F32" s="73">
        <f>F12-F19-F27</f>
        <v>3129523.6094535547</v>
      </c>
    </row>
    <row r="34" spans="1:6">
      <c r="A34" s="3" t="s">
        <v>73</v>
      </c>
      <c r="B34" s="12"/>
      <c r="C34" s="12"/>
      <c r="D34" s="12"/>
      <c r="E34" s="12"/>
      <c r="F34" s="12"/>
    </row>
    <row r="35" spans="1:6">
      <c r="A35" s="3"/>
      <c r="B35" s="12"/>
      <c r="C35" s="12"/>
      <c r="D35" s="12"/>
      <c r="E35" s="12"/>
      <c r="F35" s="12"/>
    </row>
    <row r="36" spans="1:6" ht="15" thickBot="1">
      <c r="A36" s="5" t="s">
        <v>74</v>
      </c>
      <c r="B36" s="74">
        <f>B32-B34</f>
        <v>1226581.4035916366</v>
      </c>
      <c r="C36" s="74"/>
      <c r="D36" s="74">
        <f t="shared" ref="D36:F36" si="3">D32-D34</f>
        <v>2039017.0868326977</v>
      </c>
      <c r="E36" s="74"/>
      <c r="F36" s="74">
        <f t="shared" si="3"/>
        <v>3129523.6094535547</v>
      </c>
    </row>
    <row r="37" spans="1:6" ht="15" thickTop="1"/>
    <row r="40" spans="1:6">
      <c r="A40" s="3"/>
      <c r="B40" s="12"/>
      <c r="C40" s="12"/>
      <c r="D40" s="12"/>
      <c r="E40" s="12"/>
      <c r="F40" s="12"/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Revenue Requirement</vt:lpstr>
      <vt:lpstr>Cost of Capital</vt:lpstr>
      <vt:lpstr>Depreciation</vt:lpstr>
      <vt:lpstr>Taxes</vt:lpstr>
      <vt:lpstr>Income Statement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2023-07-12T20:05:39Z</dcterms:created>
  <dcterms:modified xsi:type="dcterms:W3CDTF">2023-10-04T18:23:24Z</dcterms:modified>
</cp:coreProperties>
</file>